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32" yWindow="540" windowWidth="22716" windowHeight="11052"/>
  </bookViews>
  <sheets>
    <sheet name="Sheet" sheetId="1" r:id="rId1"/>
  </sheets>
  <definedNames>
    <definedName name="_xlnm._FilterDatabase" localSheetId="0" hidden="1">Sheet!$A$6:$AI$1142</definedName>
  </definedNames>
  <calcPr calcId="144525"/>
</workbook>
</file>

<file path=xl/calcChain.xml><?xml version="1.0" encoding="utf-8"?>
<calcChain xmlns="http://schemas.openxmlformats.org/spreadsheetml/2006/main">
  <c r="B1142" i="1" l="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alcChain>
</file>

<file path=xl/sharedStrings.xml><?xml version="1.0" encoding="utf-8"?>
<sst xmlns="http://schemas.openxmlformats.org/spreadsheetml/2006/main" count="20968" uniqueCount="4993">
  <si>
    <t xml:space="preserve">
30190000-7 Офісне устаткування та приладдя різне (Папір офісний А-4)</t>
  </si>
  <si>
    <t xml:space="preserve"> ДК 021-2015 90510000-5 Утилізація сміття та поводження зі сміттям (Послуги зі збирання сміття) </t>
  </si>
  <si>
    <t xml:space="preserve"> Кислота амінокапронова (Aminocapronik acid);Анальгін (Metamizole sodium); Гекодез® (Hydroxyethylstarch); Гекотон® (Comb drug) ; Глюкоза (Glucose);Еуфілін  (Theophyline); Інфулган (Paracetamol) ; Ксилат® (Electrolytes in combination with other drugs); Лаксерс (Cefoperazone and beta-lactamase inhibito) ; Латрен  (Pentoxifylline); Лефлоцин® (Levofloxacin); Лінелід (Linezolid); Лонгокаїн®  (Bupivacaine) ; Маніт (Mannitol); Метронідазол (Metronidazole);   Натрію хлорид  ( Sodium chloride); Натрію хлорид  ( Sodium chloride); Новокаїн (Procaine) ;  Реосорбілакт  ( Electrolytes in combination with); Розчин Рінгера (Ringer’s solution/Electrolytes); Сангера (Tranexamic acid) ; Тівортін® (Arginine hydrochloride); Цефтриаксон Юрія-Фарм ( Ceftriaxone)  </t>
  </si>
  <si>
    <t xml:space="preserve"> Оброблені фрукти та овочі.</t>
  </si>
  <si>
    <t xml:space="preserve"> Послуги з ремонту і технічного обслуговування персональних комп’ютерів 
</t>
  </si>
  <si>
    <t xml:space="preserve"> Фармацевтична продукція </t>
  </si>
  <si>
    <t>"Рудківська лікарня" Рудківської міської ради</t>
  </si>
  <si>
    <t>(Морожена риба хек без голови) Номенклатурна позиція код 15221000-3 «Морожена риба»</t>
  </si>
  <si>
    <t>*ДК 021:2015 (CPV):      –  «15130000-8 М’ясопродукти  (  ковбаса варена, сосиски, сардельки вищого гатунку)».</t>
  </si>
  <si>
    <t>-</t>
  </si>
  <si>
    <t>00022473</t>
  </si>
  <si>
    <t>00022645</t>
  </si>
  <si>
    <t>00022651</t>
  </si>
  <si>
    <t>00032945</t>
  </si>
  <si>
    <t>00100227</t>
  </si>
  <si>
    <t>00130694</t>
  </si>
  <si>
    <t>00130926</t>
  </si>
  <si>
    <t>00131050</t>
  </si>
  <si>
    <t>00131133</t>
  </si>
  <si>
    <t>00131512</t>
  </si>
  <si>
    <t>00131564</t>
  </si>
  <si>
    <t>00131587</t>
  </si>
  <si>
    <t>00179737</t>
  </si>
  <si>
    <t>00180309</t>
  </si>
  <si>
    <t>00185028</t>
  </si>
  <si>
    <t>00204033</t>
  </si>
  <si>
    <t>00659101</t>
  </si>
  <si>
    <t>00693517</t>
  </si>
  <si>
    <t>00699690</t>
  </si>
  <si>
    <t>00729103</t>
  </si>
  <si>
    <t>00854506</t>
  </si>
  <si>
    <t>00952657</t>
  </si>
  <si>
    <t>00991976</t>
  </si>
  <si>
    <t>01111227</t>
  </si>
  <si>
    <t>01125761</t>
  </si>
  <si>
    <t>01181765</t>
  </si>
  <si>
    <t>01566057</t>
  </si>
  <si>
    <t>01896866</t>
  </si>
  <si>
    <t>01981224</t>
  </si>
  <si>
    <t>01981498</t>
  </si>
  <si>
    <t>01981508</t>
  </si>
  <si>
    <t>01981626</t>
  </si>
  <si>
    <t>01981738</t>
  </si>
  <si>
    <t>01981951</t>
  </si>
  <si>
    <t>01982494</t>
  </si>
  <si>
    <t>01982502</t>
  </si>
  <si>
    <t>01982525</t>
  </si>
  <si>
    <t>01982531</t>
  </si>
  <si>
    <t>01982591</t>
  </si>
  <si>
    <t>01983134</t>
  </si>
  <si>
    <t>01983163</t>
  </si>
  <si>
    <t>01983915</t>
  </si>
  <si>
    <t>01984174</t>
  </si>
  <si>
    <t>01984624</t>
  </si>
  <si>
    <t>01985239</t>
  </si>
  <si>
    <t>01985434</t>
  </si>
  <si>
    <t>01985624</t>
  </si>
  <si>
    <t>01986173</t>
  </si>
  <si>
    <t>01986380</t>
  </si>
  <si>
    <t>01987037</t>
  </si>
  <si>
    <t>01988692</t>
  </si>
  <si>
    <t>01989763</t>
  </si>
  <si>
    <t>01990654</t>
  </si>
  <si>
    <t>01990756</t>
  </si>
  <si>
    <t>01990766</t>
  </si>
  <si>
    <t>01990803</t>
  </si>
  <si>
    <t>01990810</t>
  </si>
  <si>
    <t>01991180</t>
  </si>
  <si>
    <t>01991406</t>
  </si>
  <si>
    <t>01991470</t>
  </si>
  <si>
    <t>01991518</t>
  </si>
  <si>
    <t>01991547</t>
  </si>
  <si>
    <t>01991820</t>
  </si>
  <si>
    <t>01991949</t>
  </si>
  <si>
    <t>01991961</t>
  </si>
  <si>
    <t>01992050</t>
  </si>
  <si>
    <t>01992268</t>
  </si>
  <si>
    <t>01992274</t>
  </si>
  <si>
    <t>01992529</t>
  </si>
  <si>
    <t>01993138</t>
  </si>
  <si>
    <t>01993440</t>
  </si>
  <si>
    <t>01993457</t>
  </si>
  <si>
    <t>01993718</t>
  </si>
  <si>
    <t>01993807</t>
  </si>
  <si>
    <t>01994089</t>
  </si>
  <si>
    <t>01994132</t>
  </si>
  <si>
    <t>01994190</t>
  </si>
  <si>
    <t>01994379</t>
  </si>
  <si>
    <t>01994706</t>
  </si>
  <si>
    <t>01994942</t>
  </si>
  <si>
    <t>01996958</t>
  </si>
  <si>
    <t>01998383</t>
  </si>
  <si>
    <t>01998390</t>
  </si>
  <si>
    <t>01998437</t>
  </si>
  <si>
    <t>01998489</t>
  </si>
  <si>
    <t>01998532</t>
  </si>
  <si>
    <t>01998650</t>
  </si>
  <si>
    <t>01999253</t>
  </si>
  <si>
    <t>01999678</t>
  </si>
  <si>
    <t>02000116</t>
  </si>
  <si>
    <t>02000300</t>
  </si>
  <si>
    <t>02000317</t>
  </si>
  <si>
    <t>02000493</t>
  </si>
  <si>
    <t>02001506</t>
  </si>
  <si>
    <t>02002718</t>
  </si>
  <si>
    <t>02003474</t>
  </si>
  <si>
    <t>02003528</t>
  </si>
  <si>
    <t>02003698</t>
  </si>
  <si>
    <t>02003735</t>
  </si>
  <si>
    <t>02003770</t>
  </si>
  <si>
    <t>02004195</t>
  </si>
  <si>
    <t>02004634</t>
  </si>
  <si>
    <t>02004858</t>
  </si>
  <si>
    <t>02004976</t>
  </si>
  <si>
    <t>02005026</t>
  </si>
  <si>
    <t>02005177</t>
  </si>
  <si>
    <t>02005303</t>
  </si>
  <si>
    <t>02005384</t>
  </si>
  <si>
    <t>02005585</t>
  </si>
  <si>
    <t>02005622</t>
  </si>
  <si>
    <t>02005639</t>
  </si>
  <si>
    <t>02005852</t>
  </si>
  <si>
    <t>02006113</t>
  </si>
  <si>
    <t>02006194</t>
  </si>
  <si>
    <t>02006320</t>
  </si>
  <si>
    <t>02006343</t>
  </si>
  <si>
    <t>02007503</t>
  </si>
  <si>
    <t>02007526</t>
  </si>
  <si>
    <t>02009873</t>
  </si>
  <si>
    <t>02010741</t>
  </si>
  <si>
    <t>02010830</t>
  </si>
  <si>
    <t>02011516</t>
  </si>
  <si>
    <t>02011901</t>
  </si>
  <si>
    <t>02012131</t>
  </si>
  <si>
    <t>02070714</t>
  </si>
  <si>
    <t>02070812</t>
  </si>
  <si>
    <t>02070987</t>
  </si>
  <si>
    <t>02071091</t>
  </si>
  <si>
    <t>02071116</t>
  </si>
  <si>
    <t>02125131</t>
  </si>
  <si>
    <t>02136324</t>
  </si>
  <si>
    <t>02139239</t>
  </si>
  <si>
    <t>02140892</t>
  </si>
  <si>
    <t>02142307</t>
  </si>
  <si>
    <t>02142325</t>
  </si>
  <si>
    <t>02142879</t>
  </si>
  <si>
    <t>02143229</t>
  </si>
  <si>
    <t>02143844</t>
  </si>
  <si>
    <t>02144714</t>
  </si>
  <si>
    <t>02146920</t>
  </si>
  <si>
    <t>02146943</t>
  </si>
  <si>
    <t>02147902</t>
  </si>
  <si>
    <t>02214188</t>
  </si>
  <si>
    <t>02216158</t>
  </si>
  <si>
    <t>02219984</t>
  </si>
  <si>
    <t>02221521</t>
  </si>
  <si>
    <t>02224241</t>
  </si>
  <si>
    <t>02540002</t>
  </si>
  <si>
    <t>02540019</t>
  </si>
  <si>
    <t>02541444</t>
  </si>
  <si>
    <t>02541763</t>
  </si>
  <si>
    <t>02541823</t>
  </si>
  <si>
    <t>02541875</t>
  </si>
  <si>
    <t>02544974</t>
  </si>
  <si>
    <t>02547211</t>
  </si>
  <si>
    <t>02770021</t>
  </si>
  <si>
    <t>02771598</t>
  </si>
  <si>
    <t>02774125</t>
  </si>
  <si>
    <t>02909950</t>
  </si>
  <si>
    <t>02928433</t>
  </si>
  <si>
    <t>03077871</t>
  </si>
  <si>
    <t>03092209</t>
  </si>
  <si>
    <t>03096992</t>
  </si>
  <si>
    <t>03120000-8 Продукція рослинництва, у тому числі тепличного</t>
  </si>
  <si>
    <t>03140000-4 Продукція тваринництва та супутня продукція</t>
  </si>
  <si>
    <t xml:space="preserve">03140000-4 Продукція тваринництва та супутня продукція
 </t>
  </si>
  <si>
    <t>03140000-4 Продукція тваринництва та супутня продукція (Яйця)</t>
  </si>
  <si>
    <t>03142500-3 Яйця</t>
  </si>
  <si>
    <t>03188139</t>
  </si>
  <si>
    <t>03188211</t>
  </si>
  <si>
    <t>03188566</t>
  </si>
  <si>
    <t>03188620</t>
  </si>
  <si>
    <t>03188694</t>
  </si>
  <si>
    <t>03188914</t>
  </si>
  <si>
    <t>03188949</t>
  </si>
  <si>
    <t>03189110</t>
  </si>
  <si>
    <t>03189311</t>
  </si>
  <si>
    <t>03189328</t>
  </si>
  <si>
    <t>03189587</t>
  </si>
  <si>
    <t>03189647</t>
  </si>
  <si>
    <t>03189653</t>
  </si>
  <si>
    <t>03189682</t>
  </si>
  <si>
    <t>03189707</t>
  </si>
  <si>
    <t>03189765</t>
  </si>
  <si>
    <t>03189794</t>
  </si>
  <si>
    <t>03189848</t>
  </si>
  <si>
    <t>03189877</t>
  </si>
  <si>
    <t>03189920</t>
  </si>
  <si>
    <t>03190076</t>
  </si>
  <si>
    <t>03190254</t>
  </si>
  <si>
    <t>03190337</t>
  </si>
  <si>
    <t>03190478</t>
  </si>
  <si>
    <t>03190587</t>
  </si>
  <si>
    <t>03190679</t>
  </si>
  <si>
    <t>03191650</t>
  </si>
  <si>
    <t>03193755</t>
  </si>
  <si>
    <t>03197799</t>
  </si>
  <si>
    <t>03198089</t>
  </si>
  <si>
    <t>03210000-6 Зернові культури та картопля</t>
  </si>
  <si>
    <t>03212100-1 Картопля</t>
  </si>
  <si>
    <t>03212100-1 Картопля;03212210-5 Бобові овочі сушені</t>
  </si>
  <si>
    <t>03212100-1 Картопля;03212213-6 Горох сушений</t>
  </si>
  <si>
    <t>03212100-1 Картопля;03212213-6 Горох сушений;03212220-8 Зерна бобових культур сушені</t>
  </si>
  <si>
    <t>03220000-9 Овочі, фрукти та горіхи</t>
  </si>
  <si>
    <t xml:space="preserve">03220000-9-Овочі, фрукти та горіхи (Мандарин, груша свіжа, , капуста пекінська, капуста червона)
</t>
  </si>
  <si>
    <t>03221000-6 Овочі</t>
  </si>
  <si>
    <t>03221111-7 Буряк;03221112-4 Морква;03221113-1 Цибуля;03221410-3 Капуста качанна</t>
  </si>
  <si>
    <t>03221111-7 Буряк;03221112-4 Морква;03221113-1 Цибуля;03221410-3 Капуста качанна;03221250-3 Кабачки;03221240-0 Помідори;03221270-9 Огірки;03222111-4 Банани;03222210-8 Лимони;03222321-9 Яблука;03222220-1 Апельсини</t>
  </si>
  <si>
    <t>03221111-7 Буряк;03221112-4 Морква;03221113-1 Цибуля;03221410-3 Капуста качанна;03222321-9 Яблука;03222111-4 Банани;03222220-1 Апельсини</t>
  </si>
  <si>
    <t>03221111-7 Буряк;03221410-3 Капуста качанна;03221112-4 Морква;03221113-1 Цибуля;03222220-1 Апельсини;03222111-4 Банани;03222321-9 Яблука;03222210-8 Лимони;03222000-3 Фрукти і горіхи</t>
  </si>
  <si>
    <t>03221112-4 Морква;03221111-7 Буряк;03221410-3 Капуста качанна;03221113-1 Цибуля;03221270-9 Огірки;03221230-7 Перець овочевий;03221000-6 Овочі;03221300-9 Листкові овочі;03222111-4 Банани;03222220-1 Апельсини;03222321-9 Яблука;03222210-8 Лимони;03222240-7 Мандарини;03222322-6 Груші;03222000-3 Фрукти і горіхи</t>
  </si>
  <si>
    <t>03221112-4 Морква;03221113-1 Цибуля;03221410-3 Капуста качанна;03221111-7 Буряк;03221240-0 Помідори;03221250-3 Кабачки;03221200-8 Плодові овочі;03221270-9 Огірки;03221230-7 Перець овочевий;03221100-7 Коренеплідні та бульбоплідні овочі;03222321-9 Яблука;03222111-4 Банани;03222220-1 Апельсини;03222240-7 Мандарини;03222331-2 Абрикоси;03222340-8 Виноград;03222313-0 Полуниця;03222334-3 Сливи;03222322-6 Груші;03222333-6 Вишні та черешні;03222210-8 Лимони;03222000-3 Фрукти і горіхи</t>
  </si>
  <si>
    <t>03221112-4 Морква;03221410-3 Капуста качанна;03221111-7 Буряк;03221113-1 Цибуля;03221240-0 Помідори;03221270-9 Огірки;03222321-9 Яблука;03222000-3 Фрукти і горіхи;03222220-1 Апельсини;03222240-7 Мандарини;03222313-0 Полуниця;03222314-7 Малина;03222333-6 Вишні та черешні;03221250-3 Кабачки;03222334-3 Сливи;03222322-6 Груші;03221200-8 Плодові овочі;03222210-8 Лимони;03221230-7 Перець овочевий</t>
  </si>
  <si>
    <t>03221410-3 Капуста качанна;03221111-7 Буряк;03221112-4 Морква;03221113-1 Цибуля;03222321-9 Яблука;03222111-4 Банани</t>
  </si>
  <si>
    <t>03221410-3 Капуста качанна;03221112-4 Морква;03221111-7 Буряк;03221113-1 Цибуля</t>
  </si>
  <si>
    <t>03221410-3 Капуста качанна;03221112-4 Морква;03221111-7 Буряк;03221113-1 Цибуля;03221110-0 Коренеплідні овочі;03222111-4 Банани;03222321-9 Яблука;03222210-8 Лимони;03222220-1 Апельсини</t>
  </si>
  <si>
    <t>03222000-3 Фрукти і горіхи</t>
  </si>
  <si>
    <t>03222111-4 Банани;03221111-7 Буряк;03221000-6 Овочі;03222110-7 Тропічні фрукти;03221112-4 Морква;03221113-1 Цибуля;03221110-0 Коренеплідні овочі;03222000-3 Фрукти і горіхи</t>
  </si>
  <si>
    <t>03222111-4 Банани;03222220-1 Апельсини;03222240-7 Мандарини;03222210-8 Лимони;03222321-9 Яблука</t>
  </si>
  <si>
    <t>03222220-1 Апельсини;03222111-4 Банани;03222210-8 Лимони;03222321-9 Яблука;03221410-3 Капуста качанна;03222000-3 Фрукти і горіхи;03221210-1 Квасоля;03221240-0 Помідори;03221113-1 Цибуля;03221111-7 Буряк;03221112-4 Морква;03222240-7 Мандарини;03222118-3 Ківі;03221110-0 Коренеплідні овочі;03221200-8 Плодові овочі;03221230-7 Перець овочевий;03222340-8 Виноград;03221270-9 Огірки;03222334-3 Сливи;03222322-6 Груші</t>
  </si>
  <si>
    <t>03293480</t>
  </si>
  <si>
    <t>03327115</t>
  </si>
  <si>
    <t>03327121</t>
  </si>
  <si>
    <t>03327664</t>
  </si>
  <si>
    <t>03328379</t>
  </si>
  <si>
    <t>03328406</t>
  </si>
  <si>
    <t>03328497</t>
  </si>
  <si>
    <t>03328646</t>
  </si>
  <si>
    <t>03328681</t>
  </si>
  <si>
    <t>03331466</t>
  </si>
  <si>
    <t>03334894</t>
  </si>
  <si>
    <t>03338159</t>
  </si>
  <si>
    <t>03339459</t>
  </si>
  <si>
    <t>03339489</t>
  </si>
  <si>
    <t>03340920</t>
  </si>
  <si>
    <t>03341598</t>
  </si>
  <si>
    <t>03342250</t>
  </si>
  <si>
    <t>03342942</t>
  </si>
  <si>
    <t>03343947</t>
  </si>
  <si>
    <t>03344065</t>
  </si>
  <si>
    <t>03344071</t>
  </si>
  <si>
    <t>03345076</t>
  </si>
  <si>
    <t>03346383</t>
  </si>
  <si>
    <t>03348643</t>
  </si>
  <si>
    <t>03356128</t>
  </si>
  <si>
    <t>03356571</t>
  </si>
  <si>
    <t>03358104</t>
  </si>
  <si>
    <t>03358222</t>
  </si>
  <si>
    <t>03359018</t>
  </si>
  <si>
    <t>03359026</t>
  </si>
  <si>
    <t>03359090</t>
  </si>
  <si>
    <t>03359182</t>
  </si>
  <si>
    <t>03359701</t>
  </si>
  <si>
    <t>03359813</t>
  </si>
  <si>
    <t>03361508</t>
  </si>
  <si>
    <t>03361655</t>
  </si>
  <si>
    <t>03361845</t>
  </si>
  <si>
    <t>03366500</t>
  </si>
  <si>
    <t>03397564</t>
  </si>
  <si>
    <t>03410000-7 Деревина</t>
  </si>
  <si>
    <t>03445665</t>
  </si>
  <si>
    <t>03491277</t>
  </si>
  <si>
    <t>03491435</t>
  </si>
  <si>
    <t>03494445</t>
  </si>
  <si>
    <t>03566222</t>
  </si>
  <si>
    <t>03874432</t>
  </si>
  <si>
    <t>04014045</t>
  </si>
  <si>
    <t>04051033</t>
  </si>
  <si>
    <t>04052525</t>
  </si>
  <si>
    <t>04052560</t>
  </si>
  <si>
    <t>04054613</t>
  </si>
  <si>
    <t>04055104</t>
  </si>
  <si>
    <t>04056026</t>
  </si>
  <si>
    <t>04057600</t>
  </si>
  <si>
    <t>04057988</t>
  </si>
  <si>
    <t>04057994</t>
  </si>
  <si>
    <t>04058410</t>
  </si>
  <si>
    <t>04058812</t>
  </si>
  <si>
    <t>04060542</t>
  </si>
  <si>
    <t>04337085</t>
  </si>
  <si>
    <t>04343470</t>
  </si>
  <si>
    <t>04343487</t>
  </si>
  <si>
    <t>04348289</t>
  </si>
  <si>
    <t>04350889</t>
  </si>
  <si>
    <t>04354686</t>
  </si>
  <si>
    <t>04356863</t>
  </si>
  <si>
    <t>04370314</t>
  </si>
  <si>
    <t>04376937</t>
  </si>
  <si>
    <t>04379226</t>
  </si>
  <si>
    <t>04381128</t>
  </si>
  <si>
    <t>04388478</t>
  </si>
  <si>
    <t>04390972</t>
  </si>
  <si>
    <t>04391670</t>
  </si>
  <si>
    <t>04397508</t>
  </si>
  <si>
    <t>04400765</t>
  </si>
  <si>
    <t>04401374</t>
  </si>
  <si>
    <t>04402445</t>
  </si>
  <si>
    <t>04402540</t>
  </si>
  <si>
    <t>04403901</t>
  </si>
  <si>
    <t>04410634</t>
  </si>
  <si>
    <t>04410835</t>
  </si>
  <si>
    <t>04412403</t>
  </si>
  <si>
    <t>04415531</t>
  </si>
  <si>
    <t>04416938</t>
  </si>
  <si>
    <t>04417582</t>
  </si>
  <si>
    <t>04543536</t>
  </si>
  <si>
    <t>04544300</t>
  </si>
  <si>
    <t>04590145</t>
  </si>
  <si>
    <t>04590671</t>
  </si>
  <si>
    <t>04601943</t>
  </si>
  <si>
    <t>04654336</t>
  </si>
  <si>
    <t>04725941</t>
  </si>
  <si>
    <t>05265826</t>
  </si>
  <si>
    <t>05391703</t>
  </si>
  <si>
    <t>05396638</t>
  </si>
  <si>
    <t>05399248</t>
  </si>
  <si>
    <t>05408289</t>
  </si>
  <si>
    <t>05416113</t>
  </si>
  <si>
    <t>05416136</t>
  </si>
  <si>
    <t>05417590</t>
  </si>
  <si>
    <t>05424874</t>
  </si>
  <si>
    <t>05425046</t>
  </si>
  <si>
    <t>05430337</t>
  </si>
  <si>
    <t>05480996</t>
  </si>
  <si>
    <t>05483316</t>
  </si>
  <si>
    <t>05484008</t>
  </si>
  <si>
    <t>05484126</t>
  </si>
  <si>
    <t>05492290</t>
  </si>
  <si>
    <t>05496780</t>
  </si>
  <si>
    <t>05497361</t>
  </si>
  <si>
    <t>05498683</t>
  </si>
  <si>
    <t>05499139</t>
  </si>
  <si>
    <t>05509435</t>
  </si>
  <si>
    <t>05536047</t>
  </si>
  <si>
    <t>05536188</t>
  </si>
  <si>
    <t>05536739</t>
  </si>
  <si>
    <t>05537213</t>
  </si>
  <si>
    <t>05537561</t>
  </si>
  <si>
    <t>06711334</t>
  </si>
  <si>
    <t>07684556</t>
  </si>
  <si>
    <t>07770190</t>
  </si>
  <si>
    <t>07816153</t>
  </si>
  <si>
    <t>07856371</t>
  </si>
  <si>
    <t>07904041</t>
  </si>
  <si>
    <t>07917635</t>
  </si>
  <si>
    <t>08029701</t>
  </si>
  <si>
    <t>08113718</t>
  </si>
  <si>
    <t>08396724</t>
  </si>
  <si>
    <t>08562602</t>
  </si>
  <si>
    <t>08563665</t>
  </si>
  <si>
    <t>08564044</t>
  </si>
  <si>
    <t>08564707</t>
  </si>
  <si>
    <t>08565115</t>
  </si>
  <si>
    <t>08682387</t>
  </si>
  <si>
    <t>08734470</t>
  </si>
  <si>
    <t>08735882</t>
  </si>
  <si>
    <t>08796004</t>
  </si>
  <si>
    <t>08803715</t>
  </si>
  <si>
    <t>09000000-3 Нафтопродукти, паливо, електроенергія та інші джерела енергії</t>
  </si>
  <si>
    <t>09110000-3 Тверде паливо</t>
  </si>
  <si>
    <t>09120000-6 Газове паливо</t>
  </si>
  <si>
    <t>09122000-0 Пропан і бутан</t>
  </si>
  <si>
    <t>09122110-4 Пропан скраплений</t>
  </si>
  <si>
    <t>09130000-9 Нафта і дистиляти</t>
  </si>
  <si>
    <t>09130000-9 Нафта і дистиляти ( Бензин А-95 (талони ), дизельне паливо Євро (талони)</t>
  </si>
  <si>
    <t>09130000-9 Нафта і дистиляти (Бензин та дизельне паливо по скетч – картках або талонах)</t>
  </si>
  <si>
    <t>09132000-3 Бензин</t>
  </si>
  <si>
    <t>09132000-3 Бензин;09134200-9 Дизельне паливо</t>
  </si>
  <si>
    <t>091320000-3 Бензин-бензин А-95; 09134200-9 Дизельне паливо- дизпаливо</t>
  </si>
  <si>
    <t>09132100-4 Неетильований бензин</t>
  </si>
  <si>
    <t>09132100-4 Неетильований бензин;09134200-9 Дизельне паливо</t>
  </si>
  <si>
    <t>09133000-0 Нафтовий газ скраплений</t>
  </si>
  <si>
    <t>09134200-9 Дизельне паливо</t>
  </si>
  <si>
    <t>09134200-9 Дизельне паливо;09132000-3 Бензин</t>
  </si>
  <si>
    <t>09210000-4 Мастильні засоби</t>
  </si>
  <si>
    <t>09303328</t>
  </si>
  <si>
    <t>09310000-5 «Електрична енергія»</t>
  </si>
  <si>
    <t>09310000-5 Електрична енергія</t>
  </si>
  <si>
    <t>09320000-8 Пара, гаряча вода та пов’язана продукція</t>
  </si>
  <si>
    <t>09794409</t>
  </si>
  <si>
    <t xml:space="preserve">10 територіальний вузол урядового зв'язку Державної служби зв'язку та захисту інформації України
</t>
  </si>
  <si>
    <t>1000.0 UAH</t>
  </si>
  <si>
    <t>100000.0 UAH</t>
  </si>
  <si>
    <t>11000.0 UAH</t>
  </si>
  <si>
    <t>111000.0 UAH</t>
  </si>
  <si>
    <t>11400.0 UAH</t>
  </si>
  <si>
    <t>11550.0 UAH</t>
  </si>
  <si>
    <t>12000.0 UAH</t>
  </si>
  <si>
    <t>12294.0 UAH</t>
  </si>
  <si>
    <t>125800.0 UAH</t>
  </si>
  <si>
    <t>12602750</t>
  </si>
  <si>
    <t>130000.0 UAH</t>
  </si>
  <si>
    <t>13050.0 UAH</t>
  </si>
  <si>
    <t>13326648</t>
  </si>
  <si>
    <t>13395773</t>
  </si>
  <si>
    <t>13489818</t>
  </si>
  <si>
    <t>13491258</t>
  </si>
  <si>
    <t>135000.0 UAH</t>
  </si>
  <si>
    <t>13621784</t>
  </si>
  <si>
    <t>13648234</t>
  </si>
  <si>
    <t>13738233</t>
  </si>
  <si>
    <t>13844159</t>
  </si>
  <si>
    <t>13935778</t>
  </si>
  <si>
    <t>13990.0 UAH</t>
  </si>
  <si>
    <t>14000.0 UAH</t>
  </si>
  <si>
    <t>14210000-6 Гравій, пісок, щебінь і наповнювачі</t>
  </si>
  <si>
    <t>14307699</t>
  </si>
  <si>
    <t>14308322</t>
  </si>
  <si>
    <t>14308776</t>
  </si>
  <si>
    <t>14309787</t>
  </si>
  <si>
    <t>14310299</t>
  </si>
  <si>
    <t>14310862</t>
  </si>
  <si>
    <t>14312921</t>
  </si>
  <si>
    <t>14315629</t>
  </si>
  <si>
    <t>14321481</t>
  </si>
  <si>
    <t>14321498</t>
  </si>
  <si>
    <t>14321618</t>
  </si>
  <si>
    <t>14321661</t>
  </si>
  <si>
    <t>14321914</t>
  </si>
  <si>
    <t>14321955</t>
  </si>
  <si>
    <t>14410000-8 Кам’яна сіль</t>
  </si>
  <si>
    <t>14430000-4 Випарена сіль і чистий хлорид натрію</t>
  </si>
  <si>
    <t>145000.0 UAH</t>
  </si>
  <si>
    <t>14620000-3 Сплави</t>
  </si>
  <si>
    <t>14622000-7 Сталь</t>
  </si>
  <si>
    <t>14622000-7 Сталь;14621000-0 Феросплави</t>
  </si>
  <si>
    <t>14810000-2 Абразивні вироби</t>
  </si>
  <si>
    <t>1496. Лампа, запобіжник тощо - загалом 10 позицій. Продукція постачається партіями, відповідно до заявок.</t>
  </si>
  <si>
    <t>1497. Послуги із заправки та відновлення картриджів згідно переліку.</t>
  </si>
  <si>
    <t>15000.0 UAH</t>
  </si>
  <si>
    <t>15110000-2 - М’ясо (Яловичина І ґатунку, заморожена, Свинина заморожена)</t>
  </si>
  <si>
    <t>15110000-2 М’ясо</t>
  </si>
  <si>
    <t>15111100-0 Яловичина</t>
  </si>
  <si>
    <t>15112000-6 М’ясо свійської птиці</t>
  </si>
  <si>
    <t>15112130-6 Курятина</t>
  </si>
  <si>
    <t>15112130-6 Курятина;15111100-0 Яловичина</t>
  </si>
  <si>
    <t>15112130-6 Курятина;15111100-0 Яловичина;15113000-3 Свинина</t>
  </si>
  <si>
    <t>15112130-6 Курятина;15112120-3 Індичатина;15111100-0 Яловичина;15113000-3 Свинина</t>
  </si>
  <si>
    <t>15112130-6 Курятина;15113000-3 Свинина</t>
  </si>
  <si>
    <t>15130000-8 М’ясопродукти</t>
  </si>
  <si>
    <t>15131120-2 Ковбасні вироби</t>
  </si>
  <si>
    <t>15131500-0 Вироби з м’яса свійської птиці;15131400-9 Продукція зі свинини;15131600-1 Вироби з яловичини і телятини</t>
  </si>
  <si>
    <t>15220000-6 - Риба, рибне філе та інше м’ясо риби морожені</t>
  </si>
  <si>
    <t>15220000-6 Риба, рибне філе та інше м’ясо риби морожені</t>
  </si>
  <si>
    <t>15221000-3 Морожена риба</t>
  </si>
  <si>
    <t>15230000-9 Сушена чи солена риба; риба в розсолі; копчена риба</t>
  </si>
  <si>
    <t>15240000-2 Рибні консерви та інші рибні страви і пресерви</t>
  </si>
  <si>
    <t>15241300-2 Сардини;15240000-2 Рибні консерви та інші рибні страви і пресерви;15241500-4 Скумбрія</t>
  </si>
  <si>
    <t>15241300-2 Сардини;15241500-4 Скумбрія</t>
  </si>
  <si>
    <t>15320000-7 Фруктові та овочеві соки</t>
  </si>
  <si>
    <t>15321600-0 Яблучний сік;15321000-4 Фруктові соки</t>
  </si>
  <si>
    <t>15330000-0 Оброблені фрукти та овочі</t>
  </si>
  <si>
    <t>15331000-7 Оброблені овочі;15331142-4 Оброблена капуста;15331134-5 Оброблені помідори;15332410-1 Сухофрукти;15332419-4 Родзинки без кісточок;15331132-1 Оброблений горох;15332100-5 Оброблені фрукти</t>
  </si>
  <si>
    <t>15331142-4 Оброблена капуста;15331000-7 Оброблені овочі;15332410-1 Сухофрукти;15332200-6 Джеми та мармелади; фруктові желе; фруктові чи горіхові пюре та пасти</t>
  </si>
  <si>
    <t>15331462-3 Консервований горох;15331142-4 Оброблена капуста;15331131-4 Оброблена квасоля;15331000-7 Оброблені овочі;15331134-5 Оброблені помідори;15331420-7 Пресерви з помідорів;15332200-6 Джеми та мармелади; фруктові желе; фруктові чи горіхові пюре та пасти;15332100-5 Оброблені фрукти;15332419-4 Родзинки без кісточок;15332180-9 Баштанні культури</t>
  </si>
  <si>
    <t>15331470-2 Цукрова кукурудза;15331462-3 Консервований горох;15331410-4 Квасоля в томатному соусі;15331428-3 Томатний соус;15332290-3 Джеми;15331133-8 Колотий горох;15332419-4 Родзинки без кісточок</t>
  </si>
  <si>
    <t>15332290-3 Джеми;15331460-9 Овочеві консерви;15331423-8 Консервовані помідори;15331463-0 Консервована квасоля;15331462-3 Консервований горох;15331430-0 Консервовані гриби;15331400-1 Овочеві пресерви та/або консерви;15331142-4 Оброблена капуста;15332300-7 Оброблені горіхи;15332410-1 Сухофрукти;15331427-6 Концентроване томатне пюре;15331466-1 Консервовані оливки та маслини;15331000-7 Оброблені овочі</t>
  </si>
  <si>
    <t>15410000-5 Сирі олії та тваринні і рослинні жири</t>
  </si>
  <si>
    <t>15420000-8 Рафіновані олії та жири</t>
  </si>
  <si>
    <t>15420000-8 Рафіновані олії та жири (олія соняшникова рафінована)</t>
  </si>
  <si>
    <t>15421000-5 Рафіновані олії</t>
  </si>
  <si>
    <t>15510000-6 Молоко та вершки</t>
  </si>
  <si>
    <t>15511100-4 Пастеризоване молоко</t>
  </si>
  <si>
    <t>15530000-2 - Вершкове масло</t>
  </si>
  <si>
    <t>15530000-2 Вершкове масло</t>
  </si>
  <si>
    <t>15540000-5 Сирні продукти</t>
  </si>
  <si>
    <t>15542000-9 Свіжий сир</t>
  </si>
  <si>
    <t>15542200-1 М’який сир</t>
  </si>
  <si>
    <t>15544000-3 Твердий сир;15542000-9 Свіжий сир</t>
  </si>
  <si>
    <t>15544000-3 Твердий сир;15542200-1 М’який сир</t>
  </si>
  <si>
    <t>15550000-8 Молочні продукти різні</t>
  </si>
  <si>
    <t>15550000-8 Молочні продукти різні;15551300-8 Йогурт</t>
  </si>
  <si>
    <t>15550000-8«Молочні продукти різні»</t>
  </si>
  <si>
    <t>15551000-5 Йогурти та інші ферментовані молочні продукти</t>
  </si>
  <si>
    <t>15551300-8 Йогурт</t>
  </si>
  <si>
    <t>15610000-7 Продукція борошномельно-круп'яної промисловості</t>
  </si>
  <si>
    <t>15610000-7 Продукція борошномельно-круп'яної промисловості;15614200-7 Рис шліфований;15613380-5 Вівсяні пластівці;15612100-2 Борошно пшеничне</t>
  </si>
  <si>
    <t>15612100-2 Борошно пшеничне;15612000-1 Борошно зернових та овочевих культур і супутня продукція;15613000-8 Продукція із зерна зернових культур;15614000-5 Рис оброблений;15613380-5 Вівсяні пластівці</t>
  </si>
  <si>
    <t>15612100-2 Борошно пшеничне;15613000-8 Продукція із зерна зернових культур;15613380-5 Вівсяні пластівці;15614000-5 Рис оброблений</t>
  </si>
  <si>
    <t>15612100-2 Борошно пшеничне;15613380-5 Вівсяні пластівці;15611000-4 Облущений рис;15613000-8 Продукція із зерна зернових культур</t>
  </si>
  <si>
    <t>15612100-2 Борошно пшеничне;15614000-5 Рис оброблений;15610000-7 Продукція борошномельно-круп'яної промисловості</t>
  </si>
  <si>
    <t>15613000-8 Продукція із зерна зернових культур;15614000-5 Рис оброблений;15612100-2 Борошно пшеничне;15613300-1 Злакові продукти</t>
  </si>
  <si>
    <t>15800000-6 Продукти харчування різні</t>
  </si>
  <si>
    <t>15810000-9 - Хлібопродукти, свіжовипечені хлібобулочні та кондитерські вироби</t>
  </si>
  <si>
    <t>15810000-9 Хлібопродукти, свіжовипечені хлібобулочні та кондитерські вироби</t>
  </si>
  <si>
    <t>15811100-7 Хліб</t>
  </si>
  <si>
    <t>15811100-7 Хліб;15811200-8 Булки</t>
  </si>
  <si>
    <t>15811100-7 Хліб;15812100-4 Хлібобулочні вироби</t>
  </si>
  <si>
    <t>15820000-2 Сухарі та печиво; пресерви з хлібобулочних і кондитерських виробів</t>
  </si>
  <si>
    <t>15821200-1 Солодке печиво;15820000-2 Сухарі та печиво; пресерви з хлібобулочних і кондитерських виробів;15821150-5 Сухарі</t>
  </si>
  <si>
    <t>15830000-5 Цукор і супутня продукція</t>
  </si>
  <si>
    <t>15831000-2 Цукор</t>
  </si>
  <si>
    <t>15831000-2 Цукор;15830000-5 Цукор і супутня продукція</t>
  </si>
  <si>
    <t>15840000-8 Какао; шоколад та цукрові кондитерські вироби</t>
  </si>
  <si>
    <t>15841000-5 Какао</t>
  </si>
  <si>
    <t>15850000-1 Макаронні вироби</t>
  </si>
  <si>
    <t>15860000-4 Кава, чай та супутня продукція</t>
  </si>
  <si>
    <t>15870000-7 Заправки та приправи</t>
  </si>
  <si>
    <t>15871110-8 Оцет чи подібні продукти;15871273-8 Майонез;15871250-1 Гірчиця;15871270-7 Приготовані заправки;15872000-1 Трави та спеції;15870000-7 Заправки та приправи;15872100-2 Перець;15872400-5 Сіль</t>
  </si>
  <si>
    <t>15872200-3 Спеції;15872400-5 Сіль</t>
  </si>
  <si>
    <t>15880000-0 Спеціальні продукти харчування, збагачені поживними речовинами</t>
  </si>
  <si>
    <t>15884000-8 Продукти дитячого харчування</t>
  </si>
  <si>
    <t>15890000-3 Продукти харчування та сушені продукти різні</t>
  </si>
  <si>
    <t>15890000-3 Продукти харчування та сушені продукти різні;15898000-9 Дріжджі</t>
  </si>
  <si>
    <t>16020.0 UAH</t>
  </si>
  <si>
    <t>16710000-5 Мотоблоки</t>
  </si>
  <si>
    <t>18141000-9 Робочі рукавиці;18143000-3 Захисне спорядження</t>
  </si>
  <si>
    <t>18420000-9 Аксесуари для одягу</t>
  </si>
  <si>
    <t>18424300-0 Одноразові рукавички</t>
  </si>
  <si>
    <t>18440000-5 Капелюхи та головні убори</t>
  </si>
  <si>
    <t>18467.0 UAH</t>
  </si>
  <si>
    <t>18530000-3 Подарунки та нагороди</t>
  </si>
  <si>
    <t>18810000-0 Взуття різне, крім спортивного та захисного;18815100-6 Черевики;18812200-6 Гумові чоботи</t>
  </si>
  <si>
    <t>18930000-7 Мішки та пакети</t>
  </si>
  <si>
    <t>19044307</t>
  </si>
  <si>
    <t>19140000-9 Шкіра зі шкур інших тварин, комбінована шкіра та інші види шкіри</t>
  </si>
  <si>
    <t>19230000-7 Лляні тканини</t>
  </si>
  <si>
    <t>19236260</t>
  </si>
  <si>
    <t>19483708</t>
  </si>
  <si>
    <t>19520000-7 Пластмасові вироби</t>
  </si>
  <si>
    <t>19640000-4 Поліетиленові мішки та пакети для сміття</t>
  </si>
  <si>
    <t>20000.0 UAH</t>
  </si>
  <si>
    <t>20000025</t>
  </si>
  <si>
    <t>20001705</t>
  </si>
  <si>
    <t>20089290</t>
  </si>
  <si>
    <t>20097792</t>
  </si>
  <si>
    <t>20134234</t>
  </si>
  <si>
    <t>20263799</t>
  </si>
  <si>
    <t>20412791</t>
  </si>
  <si>
    <t>2043.03 UAH</t>
  </si>
  <si>
    <t>205000.0 UAH</t>
  </si>
  <si>
    <t>20510358</t>
  </si>
  <si>
    <t>20515410</t>
  </si>
  <si>
    <t>20518963</t>
  </si>
  <si>
    <t>20522083</t>
  </si>
  <si>
    <t>20527353</t>
  </si>
  <si>
    <t>20535186</t>
  </si>
  <si>
    <t>20552782</t>
  </si>
  <si>
    <t>20562757</t>
  </si>
  <si>
    <t>20588716</t>
  </si>
  <si>
    <t>20652012</t>
  </si>
  <si>
    <t>207600.0 UAH</t>
  </si>
  <si>
    <t>20761103</t>
  </si>
  <si>
    <t>20812013</t>
  </si>
  <si>
    <t>20908003</t>
  </si>
  <si>
    <t>21000.0 UAH</t>
  </si>
  <si>
    <t>21084107</t>
  </si>
  <si>
    <t>21094152</t>
  </si>
  <si>
    <t>21103023</t>
  </si>
  <si>
    <t>21295057</t>
  </si>
  <si>
    <t>21344146</t>
  </si>
  <si>
    <t>21433246</t>
  </si>
  <si>
    <t>21714657</t>
  </si>
  <si>
    <t>21910427</t>
  </si>
  <si>
    <t>21945667</t>
  </si>
  <si>
    <t>21992649</t>
  </si>
  <si>
    <t>22107388</t>
  </si>
  <si>
    <t>22200000-2 Газети, періодичні спеціалізовані та інші періодичні видання і журнали</t>
  </si>
  <si>
    <t>22201199</t>
  </si>
  <si>
    <t>22208422</t>
  </si>
  <si>
    <t>22208439</t>
  </si>
  <si>
    <t>22210000-5 Газети</t>
  </si>
  <si>
    <t>22210000-5 Газети;22213000-6 Журнали</t>
  </si>
  <si>
    <t>22212000-9 Періодичні видання</t>
  </si>
  <si>
    <t>22215959</t>
  </si>
  <si>
    <t>22217869</t>
  </si>
  <si>
    <t>22336769</t>
  </si>
  <si>
    <t>22359701</t>
  </si>
  <si>
    <t>22410000-7 Марки</t>
  </si>
  <si>
    <t>22410000-7 – Марки (Знаки поштової оплати (поштові марки))</t>
  </si>
  <si>
    <t>22412000-1 Нові марки</t>
  </si>
  <si>
    <t>22436347</t>
  </si>
  <si>
    <t>22450000-9 Друкована продукція з елементами захисту</t>
  </si>
  <si>
    <t>22459000-2 Квитки</t>
  </si>
  <si>
    <t>22544166</t>
  </si>
  <si>
    <t>22548359</t>
  </si>
  <si>
    <t>22564447</t>
  </si>
  <si>
    <t>22682750</t>
  </si>
  <si>
    <t>2275.78 UAH</t>
  </si>
  <si>
    <t>22765016</t>
  </si>
  <si>
    <t>22772447</t>
  </si>
  <si>
    <t>22780145</t>
  </si>
  <si>
    <t>22786946</t>
  </si>
  <si>
    <t>22800735</t>
  </si>
  <si>
    <t>22820000-4 Бланки</t>
  </si>
  <si>
    <t>22881432</t>
  </si>
  <si>
    <t>22989891</t>
  </si>
  <si>
    <t>22991000-3 Газетний папір</t>
  </si>
  <si>
    <t>23055972</t>
  </si>
  <si>
    <t>23226362</t>
  </si>
  <si>
    <t>23228183</t>
  </si>
  <si>
    <t>23293513</t>
  </si>
  <si>
    <t>23303306</t>
  </si>
  <si>
    <t>23313871</t>
  </si>
  <si>
    <t>23505151</t>
  </si>
  <si>
    <t>23516367</t>
  </si>
  <si>
    <t>23597399</t>
  </si>
  <si>
    <t>23642273</t>
  </si>
  <si>
    <t>23836149</t>
  </si>
  <si>
    <t>23959886</t>
  </si>
  <si>
    <t>24110000-8 Промислові гази</t>
  </si>
  <si>
    <t>24111900-4 Кисень</t>
  </si>
  <si>
    <t>24170770</t>
  </si>
  <si>
    <t>24175552</t>
  </si>
  <si>
    <t>24179564</t>
  </si>
  <si>
    <t>24250279</t>
  </si>
  <si>
    <t>24270460</t>
  </si>
  <si>
    <t>24300000-7 Основні органічні та неорганічні хімічні речовини</t>
  </si>
  <si>
    <t>24310000-0 Основні неорганічні хімічні речовини</t>
  </si>
  <si>
    <t>24322510-5 Етиловий спирт</t>
  </si>
  <si>
    <t>24388925</t>
  </si>
  <si>
    <t>24450000-3 Агрохімічна продукція</t>
  </si>
  <si>
    <t>24455000-8 Дезинфекційні засоби</t>
  </si>
  <si>
    <t>24477221</t>
  </si>
  <si>
    <t>24539732</t>
  </si>
  <si>
    <t>24559947</t>
  </si>
  <si>
    <t>24669110</t>
  </si>
  <si>
    <t>24687786</t>
  </si>
  <si>
    <t>24760454</t>
  </si>
  <si>
    <t>24880520</t>
  </si>
  <si>
    <t>24903190</t>
  </si>
  <si>
    <t>24930000-2 Фотохімікати</t>
  </si>
  <si>
    <t>24931250-6 Живильні середовища</t>
  </si>
  <si>
    <t>24962000-5 Хімічні речовини для обробки води</t>
  </si>
  <si>
    <t>24982999</t>
  </si>
  <si>
    <t>25000.0 UAH</t>
  </si>
  <si>
    <t>25012889</t>
  </si>
  <si>
    <t>25196197</t>
  </si>
  <si>
    <t>25214825</t>
  </si>
  <si>
    <t>25219828</t>
  </si>
  <si>
    <t>25304043</t>
  </si>
  <si>
    <t>25477986</t>
  </si>
  <si>
    <t>25509242</t>
  </si>
  <si>
    <t>25554662</t>
  </si>
  <si>
    <t>25572737</t>
  </si>
  <si>
    <t>25596594</t>
  </si>
  <si>
    <t>25602303</t>
  </si>
  <si>
    <t>25655972</t>
  </si>
  <si>
    <t>25680355</t>
  </si>
  <si>
    <t>25680639</t>
  </si>
  <si>
    <t>25695724</t>
  </si>
  <si>
    <t>25705167</t>
  </si>
  <si>
    <t>25795762</t>
  </si>
  <si>
    <t>25800049</t>
  </si>
  <si>
    <t>25803409</t>
  </si>
  <si>
    <t>25811774</t>
  </si>
  <si>
    <t>25843931</t>
  </si>
  <si>
    <t>25858474</t>
  </si>
  <si>
    <t>25887079</t>
  </si>
  <si>
    <t>2600.0 UAH</t>
  </si>
  <si>
    <t>26030754</t>
  </si>
  <si>
    <t>26044590</t>
  </si>
  <si>
    <t>26063222</t>
  </si>
  <si>
    <t>26064374</t>
  </si>
  <si>
    <t>26137707</t>
  </si>
  <si>
    <t>26146617</t>
  </si>
  <si>
    <t>26158477</t>
  </si>
  <si>
    <t>26181973</t>
  </si>
  <si>
    <t>26199097</t>
  </si>
  <si>
    <t>26223007</t>
  </si>
  <si>
    <t>26223312</t>
  </si>
  <si>
    <t>26228574</t>
  </si>
  <si>
    <t>26234853</t>
  </si>
  <si>
    <t>26244596</t>
  </si>
  <si>
    <t>26267255</t>
  </si>
  <si>
    <t>26281249</t>
  </si>
  <si>
    <t>26297291</t>
  </si>
  <si>
    <t>26314533</t>
  </si>
  <si>
    <t>26343097</t>
  </si>
  <si>
    <t>26347865</t>
  </si>
  <si>
    <t>26368915</t>
  </si>
  <si>
    <t>26407437</t>
  </si>
  <si>
    <t>26412763</t>
  </si>
  <si>
    <t>26418688</t>
  </si>
  <si>
    <t>26468611</t>
  </si>
  <si>
    <t>26508184</t>
  </si>
  <si>
    <t>2753.67 UAH</t>
  </si>
  <si>
    <t>2790.0 UAH</t>
  </si>
  <si>
    <t>28000.0 UAH</t>
  </si>
  <si>
    <t>28080.0 UAH</t>
  </si>
  <si>
    <t>29000.0 UAH</t>
  </si>
  <si>
    <t>29900.0 UAH</t>
  </si>
  <si>
    <t>3000.0 UAH</t>
  </si>
  <si>
    <t>30120000-6 Фотокопіювальне та поліграфічне обладнання для офсетного друку</t>
  </si>
  <si>
    <t>30190000-7 Офісне устаткування та приладдя різне</t>
  </si>
  <si>
    <t>30197210-1 Теки-реєстратори;30191130-4 Тека-планшет із затискачем;30197220-4 Канцелярські скріпки;30192133-2 Точила для олівців;30192121-5 Кулькові ручки;30192000-1 Офісне приладдя;30197630-1 Папір для друку;30192125-3 Маркери;30192130-1 Олівці;30197320-5 Степлери;30197110-0 Скоби</t>
  </si>
  <si>
    <t>30197210-1 Теки-реєстратори;30192700-8 Канцелярські товари;30192121-5 Кулькові ручки;30192130-1 Олівці;30192125-3 Маркери;30197220-4 Канцелярські скріпки;30197110-0 Скоби</t>
  </si>
  <si>
    <t>30197630-1 Папір для друку</t>
  </si>
  <si>
    <t>30210000-4 Машини для обробки даних (апаратна частина)</t>
  </si>
  <si>
    <t>30213300-8 Настільні комп’ютери</t>
  </si>
  <si>
    <t>30213300-8 Настільні комп’ютери;30213100-6 Портативні комп’ютери</t>
  </si>
  <si>
    <t>30230000-0 Комп’ютерне обладнання</t>
  </si>
  <si>
    <t>30231000-7 Екрани комп’ютерних моніторів та консолі</t>
  </si>
  <si>
    <t>30231310-3 Плоскопанельні дисплеї</t>
  </si>
  <si>
    <t>30232100-5 Принтери та плотери</t>
  </si>
  <si>
    <t>30311923</t>
  </si>
  <si>
    <t>30462105</t>
  </si>
  <si>
    <t>30555550</t>
  </si>
  <si>
    <t>30658176</t>
  </si>
  <si>
    <t>3071.0 UAH</t>
  </si>
  <si>
    <t>30909763</t>
  </si>
  <si>
    <t>30950099</t>
  </si>
  <si>
    <t>30990215</t>
  </si>
  <si>
    <t>31000.0 UAH</t>
  </si>
  <si>
    <t>31120000-3 Генератори</t>
  </si>
  <si>
    <t>31150000-2 Баласти для розрядних ламп чи трубок</t>
  </si>
  <si>
    <t>31154000-0 Джерела безперебійного живлення</t>
  </si>
  <si>
    <t>31174000-6 Трансформатори живлення;31171000-5 Трансформатори з рідинним діелектриком</t>
  </si>
  <si>
    <t>31214100-0 Перемикачі</t>
  </si>
  <si>
    <t>31220000-4 Елементи електричних схем</t>
  </si>
  <si>
    <t>31250.0 UAH</t>
  </si>
  <si>
    <t>31282967</t>
  </si>
  <si>
    <t>31319242</t>
  </si>
  <si>
    <t>31320000-5 Електророзподільні кабелі</t>
  </si>
  <si>
    <t>31430000-9 Електричні акумулятори</t>
  </si>
  <si>
    <t>31440000-2 Акумуляторні батареї</t>
  </si>
  <si>
    <t>31443937</t>
  </si>
  <si>
    <t>31510000-4 Електричні лампи розжарення</t>
  </si>
  <si>
    <t>31520000-7 Світильники та освітлювальна арматура</t>
  </si>
  <si>
    <t>31521000-4 Світильники</t>
  </si>
  <si>
    <t>31530000-0 Частини до світильників та освітлювального обладнання</t>
  </si>
  <si>
    <t>31548392</t>
  </si>
  <si>
    <t>31557119</t>
  </si>
  <si>
    <t>31570412</t>
  </si>
  <si>
    <t>31600000-2 Електричні обладнання та апаратура</t>
  </si>
  <si>
    <t>31640000-4 Машини та апарати спеціального призначення</t>
  </si>
  <si>
    <t>31682000-0 Електричне приладдя</t>
  </si>
  <si>
    <t>31710000-6 Електронне обладнання</t>
  </si>
  <si>
    <t>31711140-6 Електроди</t>
  </si>
  <si>
    <t>31722949</t>
  </si>
  <si>
    <t>31725604</t>
  </si>
  <si>
    <t>31730000-2 Електротехнічне обладнання</t>
  </si>
  <si>
    <t>31731100-0 Модулі</t>
  </si>
  <si>
    <t>31793056</t>
  </si>
  <si>
    <t>31821381</t>
  </si>
  <si>
    <t>31949812</t>
  </si>
  <si>
    <t>32000.0 UAH</t>
  </si>
  <si>
    <t>32021311</t>
  </si>
  <si>
    <t>32121458</t>
  </si>
  <si>
    <t>32130551</t>
  </si>
  <si>
    <t>32256.0 UAH</t>
  </si>
  <si>
    <t>32350000-1 Частини до аудіо- та відеообладнання</t>
  </si>
  <si>
    <t>32352100-6 Частини радіо- та радіолокаційного обладнання</t>
  </si>
  <si>
    <t>32444596</t>
  </si>
  <si>
    <t>32460.0 UAH</t>
  </si>
  <si>
    <t>32863684</t>
  </si>
  <si>
    <t>3300.0 UAH</t>
  </si>
  <si>
    <t>33071141</t>
  </si>
  <si>
    <t>33120000-7 Системи реєстрації медичної інформації та дослідне обладнання</t>
  </si>
  <si>
    <t>33123200-0 Електрокардіографічні прилади</t>
  </si>
  <si>
    <t>33124130-5 Діагностичне приладдя</t>
  </si>
  <si>
    <t>33124131-2 Індикаторні смужки</t>
  </si>
  <si>
    <t>33131000-7 Стоматологічні ручні інструменти;33132000-4 Зубні імплантати;33131510-5 Стоматологічні бури;33131114-9 Стоматологічні полірувальні пристрої;33131141-7 Стоматологічні дзеркала;33135000-5 Ортодонтичні пристрої;33131124-2 Стоматологічні екскаватори;33131123-5 Стоматологічні елеватори;33131111-8 Стоматологічні затискачі;33131400-1 Стоматологічні зонди;33138100-7 Зубні протези;33131300-0 Стоматологічні інструменти одноразового застосування;33131142-4 Стоматологічні каналонаповнювачі;33130000-0 Стоматологічні та вузькоспеціалізовані інструменти та прилади;33133000-1 Приладдя для виготовлення зубних зліпків;33131600-3 Інструменти для пломбування зубів;33136000-2 Обертові та абразивні інструменти;33137000-9 Приладдя для стоматологічної профілактики;33131161-3 Стоматологічні ножиці;33131112-5 Стоматологічні щітки;33131172-3 Стоматологічні пінцети;33134000-8 Ендодонтичне приладдя;33131113-2 Стоматологічні ретрактори;33131171-6 Стоматологічні шпателі</t>
  </si>
  <si>
    <t>33140000-3 - Медичні матеріали (Вата медична гігроскопічна гігієнічна нестерильна , зигзагоподібна стрічка, 100 г(33141115-9, НК 024:2019-34654- Хірургічна перев'язка), Відріз марлевий медичний нестерильний 1000смх90см , складка, тип 17 (33141114-2, НК 024:2019- 34654- Хірургічна перев'язка), Пластир медичний для фіксації катетерів , на поліуретановій та спанлейс основах 7см х 8,5см (33141112-8, НК 024:2019- 56631-Фіксатор внурішньовенного катерера), Пластир раневий , на нетканій основі 7,2смх2,5 см (33141112-8, НК 024:2019- 58986-Лейкопластир хірургічний універсальний, нестерильний), Пластир раневий , на полімерній основі 7,2смх2,5 см (33141112-8, НК 024:2019- 58986-Лейкопластир хірургічний універсальний, нестерильний), Пластир раневий, на тканній основі 7,2смх2,5 см(33141112-8, НК 024:2019- 58986-Лейкопластир хірургічний універсальний, нестерильний))</t>
  </si>
  <si>
    <t>33140000-3 Медичні матеріали</t>
  </si>
  <si>
    <t>33140000-3 Медичні матеріали (Маска медична  захисна одноразового використання нестерильна)</t>
  </si>
  <si>
    <t>33140000-3 Медичні матеріали;33141600-6 Контейнери та пакети для забору матеріалу для аналізів, дренажі та комплекти;33141320-9 Медичні голки;33141000-0 Медичні матеріали нехімічні та гематологічні одноразового застосування;33141321-6 Голки для анестезії;33141500-5 Гематологічні матеріали;33141411-4 Скальпелі та леза;33141220-8 Канюлі;33141620-2 Медичні комплекти;33141118-0 Медичні серветки;33141615-4 Пакети для забору сечі;33141300-3 Приладдя для венепункції та забору крові;33141610-9 Пакети для забору матеріалу для аналізів</t>
  </si>
  <si>
    <t>33141000-0 Медичні матеріали нехімічні та гематологічні одноразового застосування;33141900-9 Ланцети для забору крові;33141320-9 Медичні голки;33141300-3 Приладдя для венепункції та забору крові;33141620-2 Медичні комплекти;33141114-2 Медична марля;33141112-8 Пластирі;33141118-0 Медичні серветки;33141500-5 Гематологічні матеріали;33141123-8 Контейнери для голок</t>
  </si>
  <si>
    <t>33141082</t>
  </si>
  <si>
    <t>33141210-5 Балонні катетери</t>
  </si>
  <si>
    <t>33141615-4 Пакети для забору сечі</t>
  </si>
  <si>
    <t>33141620-2 Медичні комплекти</t>
  </si>
  <si>
    <t>33141620-2 Медичні комплекти;33141113-4 Бинти;33141115-9 Медична вата;33141116-6 Медичні тампони;33141121-4 Хірургічні шовні матеріали;33141114-2 Медична марля;33141320-9 Медичні голки;33140000-3 Медичні матеріали;33141220-8 Канюлі;33141200-2 Катетери;33141122-1 Хірургічні скоби;33141411-4 Скальпелі та леза;33141300-3 Приладдя для венепункції та забору крові;33141112-8 Пластирі;33141420-0 Хірургічні рукавички;33141118-0 Медичні серветки;33141900-9 Ланцети для забору крові;33141310-6 Шприци</t>
  </si>
  <si>
    <t>33141621-9 Комплекти для лікування нетримання сечі</t>
  </si>
  <si>
    <t>33141800-8 Стоматологічні матеріали</t>
  </si>
  <si>
    <t>33141810-1 Матеріали для пломбування зубів;33141800-8 Стоматологічні матеріали;33141830-7 Пломбувальний цемент</t>
  </si>
  <si>
    <t>33150000-6 Апаратура для радіотерапії, механотерапії, електротерапії та фізичної терапії</t>
  </si>
  <si>
    <t>33164000-7 Обладнання для лапароскопічних операцій</t>
  </si>
  <si>
    <t>33180000-5 - Апаратура для підтримування фізіологічних функцій організму (НК 024:2019:  34671 Апарат слуховий завушний повітряної провідності )</t>
  </si>
  <si>
    <t>33180000-5 Апаратура для підтримування фізіологічних функцій організму</t>
  </si>
  <si>
    <t>33190000-8 Медичне обладнання та вироби медичного призначення різні</t>
  </si>
  <si>
    <t>33192500-7 Пробірки</t>
  </si>
  <si>
    <t>33199000-1 Одяг для медичного персоналу</t>
  </si>
  <si>
    <t>33248509</t>
  </si>
  <si>
    <t>33286565</t>
  </si>
  <si>
    <t>33351492</t>
  </si>
  <si>
    <t>33441774</t>
  </si>
  <si>
    <t>33600000-6 - Фармацевтична продукція</t>
  </si>
  <si>
    <t>33600000-6 - Фармацевтична продукція (Inosine; Metamizole sodium; Diphenhydramine; Theophylline; Glucose; Drotaverine; Ketorolac; Pitofenone and analgesics; Magnesium (different salts in combination); Papaverine; Bendazol; Tiazotic acid; Meldonium; Hydrocortisone; Calcium chloride; Comb drug; Tranexamic acid; Diclofenac; Verapamil; G-strophanthin; Nitroglycerin; Isosorbide dinitrate; Amitriptyline.)</t>
  </si>
  <si>
    <t>33600000-6 Фармацевтична продукція</t>
  </si>
  <si>
    <t>33600000-6 Фармацевтична продукція (Furosemide, Dexamethasone, Sodium chloride, Sodium chloride, Sodium chloride, Magnesium sulfate, Paracetamol, Captopril, Medicinal charcoal, Bisoprolol, Diclofenac, Prednisolone, Loratadine, Ibuprofen, Acetylsalicylic acid, Amlodipine, Enalapril, Epinephrine, Tuberculin)</t>
  </si>
  <si>
    <t>33600000-6 Фармацевтична продукція;33610000-9 Лікарські засоби для лікування захворювань шлунково-кишкового тракту та розладів обміну речовин</t>
  </si>
  <si>
    <t>33620000-2 Лікарські засоби для лікування захворювань крові, органів кровотворення та захворювань серцево-судинної системи</t>
  </si>
  <si>
    <t>33621000-9 Лікарські засоби для лікування захворювань крові й органів кровотворення;33642200-4 Кортикостероїди для системного застосування;33675000-2 Антигістамінні засоби для системного застосування;33692500-2 Розчини для ін’єкцій;33610000-9 Лікарські засоби для лікування захворювань шлунково-кишкового тракту та розладів обміну речовин;33692510-5 Рідини для внутрішньовенного введення;33631400-6 Антибіотики та хіміотерапевтичні засоби для лікування дерматологічних захворювань</t>
  </si>
  <si>
    <t>33630000-5 Лікарські засоби для лікування дерматологічних захворювань та захворювань опорно-рухового апарату</t>
  </si>
  <si>
    <t>33651000-8 Загальні протиінфекційні засоби для системного застосування та вакцини</t>
  </si>
  <si>
    <t>33651500-3 Імунні сироватки та імуноглобуліни</t>
  </si>
  <si>
    <t>33651690-1 Ветеринарні вакцини;33691200-2 Протигельмінтні засоби</t>
  </si>
  <si>
    <t>33660000-4 Лікарські засоби для лікування хвороб нервової системи та захворювань органів чуття;33630000-5 Лікарські засоби для лікування дерматологічних захворювань та захворювань опорно-рухового апарату</t>
  </si>
  <si>
    <t>33661100-2 Анестетичні засоби</t>
  </si>
  <si>
    <t>33690000-3 - "Лікарські засоби різні" (33696500-0 «Лабораторні реактиви»)</t>
  </si>
  <si>
    <t>33690000-3 Лікарські засоби різні</t>
  </si>
  <si>
    <t>33692000-7 Медичні розчини</t>
  </si>
  <si>
    <t>33693000-4 Інші лікарські засоби</t>
  </si>
  <si>
    <t>33696000-5 Реактиви та контрастні речовини</t>
  </si>
  <si>
    <t>33696300-8 Хімічні реактиви</t>
  </si>
  <si>
    <t>33696500-0 Лабораторні реактиви</t>
  </si>
  <si>
    <t>33710000-0 Парфуми, засоби гігієни та презервативи</t>
  </si>
  <si>
    <t>33711800-5 Засоби для гоління</t>
  </si>
  <si>
    <t>33740000-9  «Засоби для догляду за руками та нігтями» (дезінфекційні засоби для дезінфекції рук медичних працівників; мило рідке антибактеріальне):33740000-9  «Засоби для догляду за руками та нігтями» (дезінфекційні засоби для дезінфекції рук медичних працівників; мило рідке антибактеріальне)</t>
  </si>
  <si>
    <t>33740000-9 Засоби для догляду за руками та нігтями</t>
  </si>
  <si>
    <t>33750000-2 Засоби для догляду за малюками</t>
  </si>
  <si>
    <t>33751000-9 Підгузки</t>
  </si>
  <si>
    <t>33751000-9 Підгузки;33750000-2 Засоби для догляду за малюками</t>
  </si>
  <si>
    <t>33760000-5 Туалетний папір, носові хустинки, рушники для рук і серветки</t>
  </si>
  <si>
    <t>33839013</t>
  </si>
  <si>
    <t>33982673</t>
  </si>
  <si>
    <t>3400.0 UAH</t>
  </si>
  <si>
    <t>34000.0 UAH</t>
  </si>
  <si>
    <t>34032208</t>
  </si>
  <si>
    <t>34054279</t>
  </si>
  <si>
    <t>34110000-1 Легкові автомобілі</t>
  </si>
  <si>
    <t>34114000-9 Транспортні засоби спеціального призначення</t>
  </si>
  <si>
    <t>34140000-0 Великовантажні мототранспортні засоби</t>
  </si>
  <si>
    <t>34239034</t>
  </si>
  <si>
    <t>34310000-3 Двигуни та їх частини</t>
  </si>
  <si>
    <t>34312000-7 Частини двигунів</t>
  </si>
  <si>
    <t>34320000-6 Механічні запасні частини, крім двигунів і частин двигунів</t>
  </si>
  <si>
    <t>34330000-9	Запасні частини до вантажних транспортних засобів, фургонів та легкових автомобілів</t>
  </si>
  <si>
    <t>34330000-9 Запасні частини до вантажних транспортних засобів, фургонів та легкових автомобілів</t>
  </si>
  <si>
    <t>34351000-2 Шини для транспортних засобів малої тоннажності</t>
  </si>
  <si>
    <t>34351100-3 Автомобільні шини</t>
  </si>
  <si>
    <t>34398594</t>
  </si>
  <si>
    <t>34435054</t>
  </si>
  <si>
    <t>34472384</t>
  </si>
  <si>
    <t>34519280</t>
  </si>
  <si>
    <t>34550776</t>
  </si>
  <si>
    <t>34592931</t>
  </si>
  <si>
    <t>34621490</t>
  </si>
  <si>
    <t>34630000-2 Частини залізничних або трамвайних локомотивів чи рейкового рухомого складу; обладнання для контролю залізничного руху</t>
  </si>
  <si>
    <t>34676543</t>
  </si>
  <si>
    <t>34702930</t>
  </si>
  <si>
    <t>34742580</t>
  </si>
  <si>
    <t>34835507</t>
  </si>
  <si>
    <t>34849106</t>
  </si>
  <si>
    <t>34850918</t>
  </si>
  <si>
    <t>3486.0 UAH</t>
  </si>
  <si>
    <t>34940000-8 Залізничне обладнання</t>
  </si>
  <si>
    <t>34990000-3 Регулювальне, запобіжне, сигнальне та освітлювальне обладнання</t>
  </si>
  <si>
    <t>35000.0 UAH</t>
  </si>
  <si>
    <t>35002038</t>
  </si>
  <si>
    <t>35075848</t>
  </si>
  <si>
    <t>35120000-1 Системи та пристрої нагляду та охорони</t>
  </si>
  <si>
    <t>35303262</t>
  </si>
  <si>
    <t>35335425</t>
  </si>
  <si>
    <t>35356555</t>
  </si>
  <si>
    <t>35377072</t>
  </si>
  <si>
    <t>35420000-4 Частини транспортних засобів військового призначення</t>
  </si>
  <si>
    <t>35435081</t>
  </si>
  <si>
    <t>35443553</t>
  </si>
  <si>
    <t>35520611</t>
  </si>
  <si>
    <t>35535544</t>
  </si>
  <si>
    <t>35549138</t>
  </si>
  <si>
    <t>35810000-5 Індивідуальне обмундирування</t>
  </si>
  <si>
    <t>35870144</t>
  </si>
  <si>
    <t>35939939</t>
  </si>
  <si>
    <t>3600.0 UAH</t>
  </si>
  <si>
    <t>36164301</t>
  </si>
  <si>
    <t>36267262</t>
  </si>
  <si>
    <t>36297606</t>
  </si>
  <si>
    <t>36541721</t>
  </si>
  <si>
    <t>36595337</t>
  </si>
  <si>
    <t>36639101</t>
  </si>
  <si>
    <t>36729839</t>
  </si>
  <si>
    <t>36788249</t>
  </si>
  <si>
    <t>3700.0 UAH</t>
  </si>
  <si>
    <t>37000.0 UAH</t>
  </si>
  <si>
    <t>37000540</t>
  </si>
  <si>
    <t>37083454</t>
  </si>
  <si>
    <t>37179958</t>
  </si>
  <si>
    <t>37197102</t>
  </si>
  <si>
    <t>37323500</t>
  </si>
  <si>
    <t>37361483</t>
  </si>
  <si>
    <t>37397216</t>
  </si>
  <si>
    <t>37413541</t>
  </si>
  <si>
    <t>37415088</t>
  </si>
  <si>
    <t>37426079</t>
  </si>
  <si>
    <t>37438896</t>
  </si>
  <si>
    <t>37440000-4 Інвентар для фітнесу</t>
  </si>
  <si>
    <t>37445442</t>
  </si>
  <si>
    <t>37447984</t>
  </si>
  <si>
    <t>37448113</t>
  </si>
  <si>
    <t>37451587</t>
  </si>
  <si>
    <t>37459172</t>
  </si>
  <si>
    <t>37470086</t>
  </si>
  <si>
    <t>37473752</t>
  </si>
  <si>
    <t>37479398</t>
  </si>
  <si>
    <t>37501627</t>
  </si>
  <si>
    <t>37501684</t>
  </si>
  <si>
    <t>37591637</t>
  </si>
  <si>
    <t>37592012</t>
  </si>
  <si>
    <t>37665263</t>
  </si>
  <si>
    <t>37734076</t>
  </si>
  <si>
    <t>37747995</t>
  </si>
  <si>
    <t>37791248</t>
  </si>
  <si>
    <t>37803279</t>
  </si>
  <si>
    <t>37804885</t>
  </si>
  <si>
    <t>37836770</t>
  </si>
  <si>
    <t>37862114</t>
  </si>
  <si>
    <t>37876813</t>
  </si>
  <si>
    <t>37885220</t>
  </si>
  <si>
    <t>37885262</t>
  </si>
  <si>
    <t>37885278</t>
  </si>
  <si>
    <t>37899757</t>
  </si>
  <si>
    <t>37906491</t>
  </si>
  <si>
    <t>37948353</t>
  </si>
  <si>
    <t>37953316</t>
  </si>
  <si>
    <t>37971953</t>
  </si>
  <si>
    <t>38189050</t>
  </si>
  <si>
    <t>38226516</t>
  </si>
  <si>
    <t>38266365</t>
  </si>
  <si>
    <t>38286858</t>
  </si>
  <si>
    <t>38380533</t>
  </si>
  <si>
    <t>38429746</t>
  </si>
  <si>
    <t>38430000-8 Детектори та аналізатори</t>
  </si>
  <si>
    <t>38456282</t>
  </si>
  <si>
    <t>38481979</t>
  </si>
  <si>
    <t>38487834</t>
  </si>
  <si>
    <t>38501853</t>
  </si>
  <si>
    <t>38502807</t>
  </si>
  <si>
    <t>38502841</t>
  </si>
  <si>
    <t>38503179</t>
  </si>
  <si>
    <t>38505313</t>
  </si>
  <si>
    <t>38509208</t>
  </si>
  <si>
    <t>38510035</t>
  </si>
  <si>
    <t>38547531</t>
  </si>
  <si>
    <t>38554360</t>
  </si>
  <si>
    <t>38598277</t>
  </si>
  <si>
    <t>38610896</t>
  </si>
  <si>
    <t>38635397</t>
  </si>
  <si>
    <t>38645610</t>
  </si>
  <si>
    <t>38658739</t>
  </si>
  <si>
    <t>38725548</t>
  </si>
  <si>
    <t>38728360</t>
  </si>
  <si>
    <t>38728376</t>
  </si>
  <si>
    <t>38728533</t>
  </si>
  <si>
    <t>38759540</t>
  </si>
  <si>
    <t>38783657</t>
  </si>
  <si>
    <t>38821236</t>
  </si>
  <si>
    <t>38975807</t>
  </si>
  <si>
    <t>39010482</t>
  </si>
  <si>
    <t>39029713</t>
  </si>
  <si>
    <t>39110000-6 Сидіння, стільці та супутні вироби і частини до них</t>
  </si>
  <si>
    <t>39113000-7 Сидіння та стільці різні;39112000-0 Стільці</t>
  </si>
  <si>
    <t>39179627</t>
  </si>
  <si>
    <t>39204.58 UAH</t>
  </si>
  <si>
    <t>39290000-1 Фурнітура різна</t>
  </si>
  <si>
    <t>39309315</t>
  </si>
  <si>
    <t>39312200-4 Обладнання для їдалень</t>
  </si>
  <si>
    <t>39483390</t>
  </si>
  <si>
    <t>39512100-5 Простирадла;39512200-6 Підодіяльники;39512500-9 Наволочки;39514100-9 Рушники;39511200-9 Пледи;39516120-9 Подушки</t>
  </si>
  <si>
    <t>39520000-3 Готові текстильні вироби</t>
  </si>
  <si>
    <t>39550000-2 Вироби з нетканих матеріалів</t>
  </si>
  <si>
    <t>39609737</t>
  </si>
  <si>
    <t>39611267</t>
  </si>
  <si>
    <t>39710000-2 Електричні побутові прилади</t>
  </si>
  <si>
    <t>39830000-9 Продукція для чищення</t>
  </si>
  <si>
    <t>39831200-8 Мийні засоби;39832000-3 Засоби для миття посуду</t>
  </si>
  <si>
    <t>39833860</t>
  </si>
  <si>
    <t>4 ДЕРЖАВНИЙ ПОЖЕЖНО-РЯТУВАЛЬНИЙ ЗАГІН ГОЛОВНОГО УПРАВЛІННЯ ДЕРЖАВНОЇ СЛУЖБИ УКРАЇНИ З НАДЗВИЧАЙНИХ СИТУАЦІЙ У ХМЕЛЬНИЦЬКІЙ ОБЛАСТІ</t>
  </si>
  <si>
    <t>40081200</t>
  </si>
  <si>
    <t>40081221</t>
  </si>
  <si>
    <t>40081347</t>
  </si>
  <si>
    <t>40108630</t>
  </si>
  <si>
    <t>40108709</t>
  </si>
  <si>
    <t>40109173</t>
  </si>
  <si>
    <t>40123439</t>
  </si>
  <si>
    <t>40150216</t>
  </si>
  <si>
    <t>40150237</t>
  </si>
  <si>
    <t>40210018</t>
  </si>
  <si>
    <t>40210039</t>
  </si>
  <si>
    <t>40312499</t>
  </si>
  <si>
    <t>40434577</t>
  </si>
  <si>
    <t>40444061</t>
  </si>
  <si>
    <t>40475812</t>
  </si>
  <si>
    <t>40505475</t>
  </si>
  <si>
    <t>40524109</t>
  </si>
  <si>
    <t>40545596</t>
  </si>
  <si>
    <t>40600473</t>
  </si>
  <si>
    <t>40647033</t>
  </si>
  <si>
    <t>40708982</t>
  </si>
  <si>
    <t>40980271</t>
  </si>
  <si>
    <t>41007217</t>
  </si>
  <si>
    <t>41045137</t>
  </si>
  <si>
    <t>41054047</t>
  </si>
  <si>
    <t>41064044</t>
  </si>
  <si>
    <t>41089661</t>
  </si>
  <si>
    <t>41091094</t>
  </si>
  <si>
    <t>41092538</t>
  </si>
  <si>
    <t>41110000-3 Питна вода</t>
  </si>
  <si>
    <t>41341054</t>
  </si>
  <si>
    <t>41348856</t>
  </si>
  <si>
    <t>41451855</t>
  </si>
  <si>
    <t>41485381</t>
  </si>
  <si>
    <t>41493701</t>
  </si>
  <si>
    <t>41541660</t>
  </si>
  <si>
    <t>41739587</t>
  </si>
  <si>
    <t>41823673</t>
  </si>
  <si>
    <t>41826716</t>
  </si>
  <si>
    <t>41832960</t>
  </si>
  <si>
    <t>41834402</t>
  </si>
  <si>
    <t>41836787</t>
  </si>
  <si>
    <t>41850927</t>
  </si>
  <si>
    <t>41859757</t>
  </si>
  <si>
    <t>41900490</t>
  </si>
  <si>
    <t>42014230</t>
  </si>
  <si>
    <t>42016568</t>
  </si>
  <si>
    <t>42037326</t>
  </si>
  <si>
    <t>42043220</t>
  </si>
  <si>
    <t>42045473</t>
  </si>
  <si>
    <t>42092130</t>
  </si>
  <si>
    <t>42096899</t>
  </si>
  <si>
    <t>42120000-6 Насоси та компресори</t>
  </si>
  <si>
    <t>42131260-6 Кульові крани</t>
  </si>
  <si>
    <t>42131400-0 Крани та вентилі для санітарно-технічного обладнання;42131120-3 Засувки для водопровідних мереж;42131142-3 Регулювальні клапани;42131200-8 Арматура, що визначена за конструктивними ознаками</t>
  </si>
  <si>
    <t>42170577</t>
  </si>
  <si>
    <t>42178123</t>
  </si>
  <si>
    <t>42225136</t>
  </si>
  <si>
    <t>42278319</t>
  </si>
  <si>
    <t>42302409</t>
  </si>
  <si>
    <t>42328668</t>
  </si>
  <si>
    <t>42332873</t>
  </si>
  <si>
    <t>42341034</t>
  </si>
  <si>
    <t>42376659</t>
  </si>
  <si>
    <t>42588046</t>
  </si>
  <si>
    <t>42664633</t>
  </si>
  <si>
    <t>42675100-9 Частини ланцюгових пил</t>
  </si>
  <si>
    <t>42779217</t>
  </si>
  <si>
    <t>42789136</t>
  </si>
  <si>
    <t>42795490</t>
  </si>
  <si>
    <t>42815794</t>
  </si>
  <si>
    <t>42870829</t>
  </si>
  <si>
    <t>42875827</t>
  </si>
  <si>
    <t>42900000-5 Універсальні та спеціалізовані машини різні</t>
  </si>
  <si>
    <t>42910000-8 Апарати для дистилювання, фільтрування чи ректифікації</t>
  </si>
  <si>
    <t>42913300-2 Оливні фільтри;42913400-3 Бензинові фільтри;42913500-4 Повітрозабірні фільтри;42910000-8 Апарати для дистилювання, фільтрування чи ректифікації</t>
  </si>
  <si>
    <t>42940000-7 Машини для термічної обробки матеріалів</t>
  </si>
  <si>
    <t>42941040</t>
  </si>
  <si>
    <t>42950000-0 Частини універсальних машин Фільтр для фарбувальної камери</t>
  </si>
  <si>
    <t>42957000-9 Частини розпилювальних машин</t>
  </si>
  <si>
    <t>42990000-2 Машини спеціального призначення різні</t>
  </si>
  <si>
    <t>4300.8 UAH</t>
  </si>
  <si>
    <t>43122946</t>
  </si>
  <si>
    <t>43162486</t>
  </si>
  <si>
    <t>43176373</t>
  </si>
  <si>
    <t>43218512</t>
  </si>
  <si>
    <t>43220000-1 Грейдери та планувальники</t>
  </si>
  <si>
    <t>43244977</t>
  </si>
  <si>
    <t>43260000-3 Механічні лопати, екскаватори та ковшові навантажувачі, гірнича техніка</t>
  </si>
  <si>
    <t>43342788</t>
  </si>
  <si>
    <t>43574730</t>
  </si>
  <si>
    <t>43611747</t>
  </si>
  <si>
    <t>43611870</t>
  </si>
  <si>
    <t>43665271</t>
  </si>
  <si>
    <t>43830000-0 Електричні інструменти</t>
  </si>
  <si>
    <t>43868632</t>
  </si>
  <si>
    <t>43910982</t>
  </si>
  <si>
    <t>43915069</t>
  </si>
  <si>
    <t>43915561</t>
  </si>
  <si>
    <t>43917160</t>
  </si>
  <si>
    <t>43922034</t>
  </si>
  <si>
    <t>43927048</t>
  </si>
  <si>
    <t>43932094</t>
  </si>
  <si>
    <t>43936733</t>
  </si>
  <si>
    <t>43937145</t>
  </si>
  <si>
    <t>43937407</t>
  </si>
  <si>
    <t>43944943</t>
  </si>
  <si>
    <t>43964081</t>
  </si>
  <si>
    <t>43968090</t>
  </si>
  <si>
    <t>43983317</t>
  </si>
  <si>
    <t>44017631</t>
  </si>
  <si>
    <t>44023933</t>
  </si>
  <si>
    <t>44030626</t>
  </si>
  <si>
    <t>44035137</t>
  </si>
  <si>
    <t>44045187</t>
  </si>
  <si>
    <t>44048570</t>
  </si>
  <si>
    <t>44050616</t>
  </si>
  <si>
    <t>44059362</t>
  </si>
  <si>
    <t>44064021</t>
  </si>
  <si>
    <t>44089863</t>
  </si>
  <si>
    <t>44104781</t>
  </si>
  <si>
    <t>44110000-4 Конструкційні матеріали</t>
  </si>
  <si>
    <t>44110000-4 — Конструкційні матеріали (Цемент Портландцемент ДСТУ Б В.2.7-46:2010 ПЦ  I-500)</t>
  </si>
  <si>
    <t>44111600-7 Блоки;44114250-9 Бетонні плити;44114200-4 Бетонні вироби;44111800-9 Розчини (будівельні);44114000-2 Бетон</t>
  </si>
  <si>
    <t>44114200-4 Бетонні вироби</t>
  </si>
  <si>
    <t>44114220-0 Бетонні труби та арматура</t>
  </si>
  <si>
    <t>44124829</t>
  </si>
  <si>
    <t>44132000-4 Елементи дренажних труб;44131000-7 Каналізаційні шахти;44130000-0 Каналізаційні системи;44134000-8 Коліна для каналізаційних труб</t>
  </si>
  <si>
    <t>44138014</t>
  </si>
  <si>
    <t>44141514</t>
  </si>
  <si>
    <t>44141598</t>
  </si>
  <si>
    <t>44160000-9 Магістралі, трубопроводи, труби, обсадні труби, тюбінги та супутні вироби</t>
  </si>
  <si>
    <t>44167300-1 Коліна, трійники та арматура до труб</t>
  </si>
  <si>
    <t>44170000-2 Плити, листи, стрічки та фольга, пов’язані з конструкційними матеріалами</t>
  </si>
  <si>
    <t>44173515</t>
  </si>
  <si>
    <t>44177404</t>
  </si>
  <si>
    <t>44194896</t>
  </si>
  <si>
    <t>44210000-5 Конструкції та їх частини</t>
  </si>
  <si>
    <t>44210000-5 Конструкції та їх частини (Стовпчик орієнтирний)</t>
  </si>
  <si>
    <t>44212320-8 Конструкції різні</t>
  </si>
  <si>
    <t>44220000-8 Столярні вироби</t>
  </si>
  <si>
    <t>44220000-8 Столярні вироби (Металопластикова віконна конструкція)</t>
  </si>
  <si>
    <t>44231010</t>
  </si>
  <si>
    <t>44308884</t>
  </si>
  <si>
    <t>44315200-3 Зварювальні матеріали</t>
  </si>
  <si>
    <t>44320000-9 Кабелі та супутня продукція</t>
  </si>
  <si>
    <t>44329149</t>
  </si>
  <si>
    <t>44330000-2 Будівельні прути, стрижні, дроти та профілі</t>
  </si>
  <si>
    <t>44425000-5 Кільця, прокладки, смужки, вставки та ущільнювачі</t>
  </si>
  <si>
    <t>44440000-6 Вальниці</t>
  </si>
  <si>
    <t>44440000-6 Вальниці;44442000-0 Роликові вальниці</t>
  </si>
  <si>
    <t>44442000-0 Роликові вальниці;44441000-3 Мікрокульки</t>
  </si>
  <si>
    <t>44474482</t>
  </si>
  <si>
    <t>44505164</t>
  </si>
  <si>
    <t>44510000-8 Знаряддя</t>
  </si>
  <si>
    <t>44530000-4 Кріпильні деталі</t>
  </si>
  <si>
    <t>44531300-4 Саморізи;44530000-4 Кріпильні деталі;44531400-5 Болти;44531600-7 Гайки</t>
  </si>
  <si>
    <t>44531400-5 Болти;44532200-0 Шайби;44531600-7 Гайки</t>
  </si>
  <si>
    <t>44566981</t>
  </si>
  <si>
    <t>44620000-2 Радіатори і котли для систем центрального опалення та їх деталі</t>
  </si>
  <si>
    <t>44810000-1 Фарби</t>
  </si>
  <si>
    <t>4500.0 UAH</t>
  </si>
  <si>
    <t>45000000-7 Будівельні роботи та поточний ремонт</t>
  </si>
  <si>
    <t>45112730-1 Благоустрій доріг і шосе</t>
  </si>
  <si>
    <t>45212000-6 Будівництво закладів дозвілля, спортивних, культурних закладів, закладів тимчасового розміщення та ресторанів</t>
  </si>
  <si>
    <t>45220000-5 Інженерні та будівельні роботи</t>
  </si>
  <si>
    <t>45223800-4 Монтаж і зведення збірних конструкцій</t>
  </si>
  <si>
    <t>45230000-8 Будівництво трубопроводів, ліній зв’язку та електропередач, шосе, доріг, аеродромів і залізничних доріг; вирівнювання поверхонь</t>
  </si>
  <si>
    <t>45232221-7 Будівництво трансформаторних підстанцій</t>
  </si>
  <si>
    <t>45310000-3 Електромонтажні роботи</t>
  </si>
  <si>
    <t>45331210-1 Встановлення вентиляційних систем</t>
  </si>
  <si>
    <t>45340000-2 Зведення огорож, монтаж поручнів і захисних засобів</t>
  </si>
  <si>
    <t>45450000-6  інші завершальні будівельні роботи
(Поточний ремонт актової зали на 1 поверсі адміністративної будівлі за адресою: м.Дніпро, вул. Воскресенська буд. №24)</t>
  </si>
  <si>
    <t>45450000-6  інші завершальні будівельні роботи
(Поточний ремонт приміщень 3 та 7 поверхів адміністративної будівлі за адресою: м.Дніпро, вул. Воскресенська буд. №24)</t>
  </si>
  <si>
    <t>45450000-6 Інші завершальні будівельні роботи</t>
  </si>
  <si>
    <t>45453000-7 Капітальний ремонт і реставрація</t>
  </si>
  <si>
    <t>45454000-4 Реконструкція</t>
  </si>
  <si>
    <t>45510000-5 Прокат підіймальних кранів із оператором</t>
  </si>
  <si>
    <t>4600.0 UAH</t>
  </si>
  <si>
    <t>4700.0 UAH</t>
  </si>
  <si>
    <t>48190000-6 Пакети освітнього програмного забезпечення</t>
  </si>
  <si>
    <t>48440000-4 Пакети програмного забезпечення для фінансового аналізу та бухгалтерського обліку</t>
  </si>
  <si>
    <t>48620000-0 Операційні системи</t>
  </si>
  <si>
    <t>500000.0 UAH</t>
  </si>
  <si>
    <t>50110000-9 - Послуги з ремонту і технічного обслуговування мототранспортних засобів і супутнього обладнання</t>
  </si>
  <si>
    <t>50110000-9 Послуги з ремонту і технічного обслуговування мототранспортних засобів і супутнього обладнання</t>
  </si>
  <si>
    <t>50230000-6 Послуги з ремонту, технічного обслуговування дорожньої інфраструктури і пов’язаного обладнання та супутні послуги</t>
  </si>
  <si>
    <t>50232100-1 Послуги з технічного обслуговування систем вуличного освітлення</t>
  </si>
  <si>
    <t>50310000-1 Технічне обслуговування і ремонт офісної техніки</t>
  </si>
  <si>
    <t>50310000-1 Технічне обслуговування і ремонт офісної техніки (Послуги з технічного обслуговування реєстраторів розрахункових операцій)</t>
  </si>
  <si>
    <t>50310000-1 Технічне обслуговування і ремонт офісної техніки (технічне обслуговування реєстраторів розрахункових операцій)</t>
  </si>
  <si>
    <t>50312000-5 Технічне обслуговування і ремонт комп’ютерного обладнання;50311000-8 Технічне обслуговування і ремонт офісної обчислювальної техніки;50310000-1 Технічне обслуговування і ремонт офісної техніки;50313000-2 Технічне обслуговування і ремонт копіювально-розмножувальної техніки</t>
  </si>
  <si>
    <t>50313000-2 Технічне обслуговування і ремонт копіювально-розмножувальної техніки</t>
  </si>
  <si>
    <t>50314000-9 Послуги з ремонту і технічного обслуговування факсимільних апаратів</t>
  </si>
  <si>
    <t>50320000-4 Послуги з ремонту і технічного обслуговування персональних комп’ютерів</t>
  </si>
  <si>
    <t>50323000-5 Ремонт і технічне обслуговування комп’ютерних периферійних пристроїв</t>
  </si>
  <si>
    <t>50330000-7 Послуги з технічного обслуговування телекомунікаційного обладнання</t>
  </si>
  <si>
    <t>50410000-2 - Послуги з ремонту і технічного обслуговування вимірювальних, випробувальних і контрольних приладів (метрологічна повірка засобів вимірювальної техніки)</t>
  </si>
  <si>
    <t>50410000-2 Послуги з ремонту і технічного обслуговування вимірювальних, випробувальних і контрольних приладів</t>
  </si>
  <si>
    <t>50410000-2 Послуги з ремонту і технічного обслуговування вимірювальних, випробувальних і контрольних приладів Обслуговування пожежної сигналізації на об'єктах Рівненського РЦОМ</t>
  </si>
  <si>
    <t>50411000-9 Послуги з ремонту і технічного обслуговування вимірювальних приладів</t>
  </si>
  <si>
    <t>50413000-3 Послуги з ремонту і технічного обслуговування контрольних приладів</t>
  </si>
  <si>
    <t>50413200-5 Послуги з ремонту і технічного обслуговування протипожежного обладнання</t>
  </si>
  <si>
    <t>50420000-5 Послуги з ремонту і технічного обслуговування медичного та хірургічного обладнання</t>
  </si>
  <si>
    <t>50420000-5 Послуги з ремонту і технічного обслуговування медичного та хірургічного обладнання (Поточний ремонт рентгенологічного обладнання Комплексу рентгенівського діагностичного «Медикс на 2р.м.»)</t>
  </si>
  <si>
    <t>50421000-2 Послуги з ремонту і технічного обслуговування медичного обладнання</t>
  </si>
  <si>
    <t>50510000-3 Послуги з ремонту і технічного обслуговування насосів, клапанів, кранів і металевих контейнерів</t>
  </si>
  <si>
    <t>50530000-9 Послуги з ремонту і технічного обслуговування техніки</t>
  </si>
  <si>
    <t>50530000-9 Послуги з ремонту і технічного обслуговування техніки (Послуги з діагностики та ремонту дизель-генератора RP-V275)</t>
  </si>
  <si>
    <t>50610000-4 Послуги з ремонту і технічного обслуговування захисного обладнання</t>
  </si>
  <si>
    <t>50710000-5 Послуги з ремонту і технічного обслуговування електричного і механічного устаткування будівель</t>
  </si>
  <si>
    <t>50720000-8 Послуги з ремонту і технічного обслуговування систем центрального опалення</t>
  </si>
  <si>
    <t>50750000-7 Послуги з технічного обслуговування ліфтів</t>
  </si>
  <si>
    <t>50850000-8 Послуги з ремонту і технічного обслуговування меблів</t>
  </si>
  <si>
    <t>51840.0 UAH</t>
  </si>
  <si>
    <t>5345.0 UAH</t>
  </si>
  <si>
    <t>5423.0 UAH</t>
  </si>
  <si>
    <t>5500.0 UAH</t>
  </si>
  <si>
    <t>55000.0 UAH</t>
  </si>
  <si>
    <t>55320000-9 Послуги з організації харчування</t>
  </si>
  <si>
    <t>55500000-5 Послуги їдалень та кейтерингові послуги</t>
  </si>
  <si>
    <t>55510000-8 Послуги їдалень</t>
  </si>
  <si>
    <t>55520000-1 Кейтерингові послуги</t>
  </si>
  <si>
    <t>55523100-3 Послуги з організації шкільного харчування</t>
  </si>
  <si>
    <t>56160.0 UAH</t>
  </si>
  <si>
    <t>57900.0 UAH</t>
  </si>
  <si>
    <t>59000.0 UAH</t>
  </si>
  <si>
    <t>6 державний пожежно-рятувальний загін Головного управління Державної служби України з надзвичайних ситуацій у Сумській області</t>
  </si>
  <si>
    <t>60130000-8 Послуги спеціалізованих автомобільних перевезень пасажирів</t>
  </si>
  <si>
    <t>60140000-1 Нерегулярні пасажирські перевезення</t>
  </si>
  <si>
    <t>60170000-0 Прокат пасажирських транспортних засобів із водієм</t>
  </si>
  <si>
    <t>60180000-3 Прокат вантажних транспортних засобів із водієм для перевезення товарів</t>
  </si>
  <si>
    <t>60181000-0 Прокат вантажних автомобілів із водієм</t>
  </si>
  <si>
    <t>63120000-6 Послуги зберігання та складування</t>
  </si>
  <si>
    <t>63121100-4 Послуги зберігання</t>
  </si>
  <si>
    <t>63710000-9 Послуги з обслуговування наземних видів транспорту</t>
  </si>
  <si>
    <t>64210000-1 Послуга  телефонного  зв’язку  та  передачі  даних</t>
  </si>
  <si>
    <t>64210000-1 Послуги телефонного зв’язку та передачі даних</t>
  </si>
  <si>
    <t>64210000-1 Послуги телефонного зв’язку та передачі даних (Vodafone Red Business L).</t>
  </si>
  <si>
    <t>64210000-1 Послуги телефонного зв’язку та передачі даних . Телекомунікаційні послуги</t>
  </si>
  <si>
    <t>64211000-8 Послуги громадського телефонного зв’язку</t>
  </si>
  <si>
    <t>64211100-9 Послуги міського телефонного зв’язку;64211200-0 Послуги міжміського телефонного зв’язку;64214400-3 Оренда наземних ліній зв’язку</t>
  </si>
  <si>
    <t>64220000-4 Телекомунікаційні послуги, крім послуг телефонного зв’язку і передачі даних</t>
  </si>
  <si>
    <t>64228000-0 Послуги з транслювання теле- та радіопередач</t>
  </si>
  <si>
    <t>6450.0 UAH</t>
  </si>
  <si>
    <t>66510000-8 Страхові послуги</t>
  </si>
  <si>
    <t>66512100-3 Послуги зі страхування від нещасних випадків</t>
  </si>
  <si>
    <t>700000.0 UAH</t>
  </si>
  <si>
    <t>71251000-2 Геодезичні послуги у галузях архітектури та будівництва</t>
  </si>
  <si>
    <t>71310000-4 Консультаційні послуги у галузях інженерії та будівництва</t>
  </si>
  <si>
    <t>71320000-7 Послуги з інженерного проектування</t>
  </si>
  <si>
    <t>71350000-6 Науково-технічні послуги в галузі інженерії</t>
  </si>
  <si>
    <t>71520000-9 Послуги з нагляду за виконанням будівельних робіт</t>
  </si>
  <si>
    <t>71630000-3 Послуги з технічного огляду та випробовувань</t>
  </si>
  <si>
    <t>71900000-7 Лабораторні послуги</t>
  </si>
  <si>
    <t>72250000-2 Послуги, пов’язані із системами та підтримкою</t>
  </si>
  <si>
    <t>72250000-2 Послуги, пов’язані із системами та підтримкою (Закупівля послуг технічної підтримки HPE Foundation Care 24x7 для мережного обладнання НРЕ)</t>
  </si>
  <si>
    <t>72260000-5 Послуги, пов’язані з програмним забезпеченням</t>
  </si>
  <si>
    <t>72266000-7 Консультаційні послуги з питань програмного забезпечення</t>
  </si>
  <si>
    <t>72310000-1 Послуги з обробки даних</t>
  </si>
  <si>
    <t>72410000-7 Послуги провайдера та  інсталяція  каналу</t>
  </si>
  <si>
    <t>72410000-7 Послуги провайдерів</t>
  </si>
  <si>
    <t>75240000-0 Послуги із забезпечення громадської безпеки, охорони правопорядку та громадського порядку</t>
  </si>
  <si>
    <t>75250000-3 Послуги пожежних і рятувальних служб</t>
  </si>
  <si>
    <t>75250000-3 Послуги пожежних і рятувальних служб (Послуга з технічного обслуговування системи пожежної сигналізації, системи оповіщення, управління евакуацією та спостереження за спрацюванням пожежної сигналізації)</t>
  </si>
  <si>
    <t>75251110-4 Послуги з протипожежного захисту</t>
  </si>
  <si>
    <t>77200000-2 Послуги у сфері лісівництва</t>
  </si>
  <si>
    <t>77340000-5 Підрізання дерев і живих огорож</t>
  </si>
  <si>
    <t>77620000-2 Послуги з тимчасової ізоляції тварин</t>
  </si>
  <si>
    <t>7822.0 UAH</t>
  </si>
  <si>
    <t>79210000-9 Бухгалтерські та аудиторські послуги</t>
  </si>
  <si>
    <t>79310000-0 Послуги з проведення ринкових досліджень</t>
  </si>
  <si>
    <t>79520000-5 Копіювально-розмножувальні послуги</t>
  </si>
  <si>
    <t>79710000-4 Охоронні послуги</t>
  </si>
  <si>
    <t>79710000-4 Охоронні послуги. Послуги охорони на контрольно-перепустковому посту в’їзді-виїзді на територію ДУ „ІФТ НАМНУ” (КПП №3).</t>
  </si>
  <si>
    <t>79713000-5 Послуги з охорони об’єктів та особистої охорони</t>
  </si>
  <si>
    <t>79714000-2 Послуги зі спостереження</t>
  </si>
  <si>
    <t>79820000-8 Послуги, пов’язані з друком</t>
  </si>
  <si>
    <t>79824000-6 Послуги з друку та розповсюджування надрукованої продукції</t>
  </si>
  <si>
    <t>79940000-5 Послуги колекторських агентств</t>
  </si>
  <si>
    <t>79970000-4 Видавничі послуги</t>
  </si>
  <si>
    <t>79990000-0 Різні послуги, пов’язані з діловою сферою</t>
  </si>
  <si>
    <t>8000.0 UAH</t>
  </si>
  <si>
    <t>80420000-4 Послуги у сфері електронної освіти</t>
  </si>
  <si>
    <t>80521000-2 Послуги, пов’язані з навчальними програмами</t>
  </si>
  <si>
    <t>80560000-7 Послуги з професійної підготовки у сфері охорони здоров’я та надання першої медичної допомоги</t>
  </si>
  <si>
    <t>80570000-0 Послуги з професійної підготовки у сфері підвищення кваліфікації</t>
  </si>
  <si>
    <t>8422883.44 UAH</t>
  </si>
  <si>
    <t>85110000-3 Послуги лікувальних закладів та супутні послуги</t>
  </si>
  <si>
    <t>85110000-3 Послуги лікувальних закладів та супутні послуги (Послуги з проведення бактеріологічних досліджень)</t>
  </si>
  <si>
    <t>85111800-8 Послуги з патологоанатомічних досліджень</t>
  </si>
  <si>
    <t>85111810-1 Послуги з проведення аналізів крові</t>
  </si>
  <si>
    <t>85111820-4 Послуги з проведення бактеріологічних досліджень</t>
  </si>
  <si>
    <t>85140000-2 Послуги у сфері охорони здоров’я різні</t>
  </si>
  <si>
    <t>85145000-7 Послуги медичних лабораторій</t>
  </si>
  <si>
    <t>85145000-7 Послуги медичних лабораторій (Бактеріологічні дослідження)</t>
  </si>
  <si>
    <t>85200000-1 Ветеринарні послуги</t>
  </si>
  <si>
    <t>885600.0 UAH</t>
  </si>
  <si>
    <t>9000.0 UAH</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</si>
  <si>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Благовіщенське, вул. Героїв України,74)</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</si>
  <si>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Гайворон, вул.Чкалова, 8)</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</si>
  <si>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Долинська, вул.Нова,42)</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</si>
  <si>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Знам’янка, вул. В.Київська, 25)</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</si>
  <si>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Новомиргород, вул. А.Гурічева,25)</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</si>
  <si>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Новоукраїнка, вул.Демченка,7)</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</si>
  <si>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Світловодськ, вул.Куцевича,8)</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</si>
  <si>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м.Олександрія, вул.6 Грудня,36 та 6 Грудня,49)</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</si>
  <si>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смт. Вільшанка, вул.Миру,38)</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</si>
  <si>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смт. Олександрівка, вул.Шевченка, 20)</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</si>
  <si>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смт. Петрове, вул.Садова,45)</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</si>
  <si>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смт.Добровеличківка, вул.Центральна, 115)</t>
  </si>
  <si>
    <t>90510000-5 «Утилізація/видалення сміття та поводження зі сміттям» (послуги з вивезення та захоронення твердих побутових відходів з поділом на лоти):90510000-5 «Утилізація/видалення сміття та поводження зі сміттям» (послуги з вивезення та захоронення твердих побутових відходів по м. Кропивницький)</t>
  </si>
  <si>
    <t>90510000-5 Утилізація/видалення сміття та поводження зі сміттям</t>
  </si>
  <si>
    <t>90512000-9 Послуги з перевезення сміття</t>
  </si>
  <si>
    <t>90513000-6 Послуги з поводження із безпечними сміттям і відходами та їх утилізація/видалення</t>
  </si>
  <si>
    <t>90520000-8 Послуги у сфері поводження з радіоактивними, токсичними, медичними та небезпечними відходами</t>
  </si>
  <si>
    <t>90524000-6 Послуги у сфері поводження з медичними відходами</t>
  </si>
  <si>
    <t>90610000-6 Послуги з прибирання та підмітання вулиць</t>
  </si>
  <si>
    <t>90670000-4 Послуги з дезінфікування та дератизування міських і сільських територій</t>
  </si>
  <si>
    <t>90710000-7 Екологічний менеджмент</t>
  </si>
  <si>
    <t>90910000-9 Послуги з прибирання</t>
  </si>
  <si>
    <t>90911200-8 Послуги з прибирання будівель</t>
  </si>
  <si>
    <t>90920000-2 Послуги із санітарно-гігієнічної обробки приміщень</t>
  </si>
  <si>
    <t>90921000-9 Послуги з дезінфікування та витравлювання</t>
  </si>
  <si>
    <t>92210000-6 Послуги радіомовлення</t>
  </si>
  <si>
    <t>92330000-3 Послуги відпочивально-розважальних комплексів</t>
  </si>
  <si>
    <t>93000.0 UAH</t>
  </si>
  <si>
    <t>9360.0 UAH</t>
  </si>
  <si>
    <t>973.55 UAH</t>
  </si>
  <si>
    <t>979.03 UAH</t>
  </si>
  <si>
    <t>98000.0 UAH</t>
  </si>
  <si>
    <t>98110000-7 Послуги підприємницьких, професійних та спеціалізованих організацій</t>
  </si>
  <si>
    <t>98310000-9 Послуги з прання і сухого чищення</t>
  </si>
  <si>
    <t>98350000-1 Послуги громадських пунктів збору та переробки сміття</t>
  </si>
  <si>
    <t>98370000-7 Поховальні та супутні послуги</t>
  </si>
  <si>
    <t>Boule Гіпохлоритний  очищувач 2%, 500 мл, або еквівалент (НК 024:2019: 45059 Дезінфікувальний засіб із вмістом гіпохлорита натрію); Boule Контроль-Диф. Нормальний 1*4,5 мл, або еквівалент (НК 024:2019: 55866 Підрахунок клітин крові IVD, контрольний матеріал); Swelab Alfa  Ділуент, 900 циклів, 20 л,  або еквівалент (НК 024:2019: 55857 Підрахунок еритроцитів IVD, реагент); Swelab Alfa Лізуючий, 900 циклів, 5 л,  або еквівалент (НК 024:2019: 55859 Підрахунок лейкоцитів IVD, реагент);  Boule Набір для очищення 3*450мл, або еквівалент (НК 024:2019: 59058 Миючий / очищуючий розчин ІВД, для автоматизованих / полуавтоматізіванних систем); Boule МРА Мікрокапіляр пластиковий з ЕДТА10х100, або еквівалент  (НК 024:2019: 58154 Мікрокапіляр для перенесення крові ІВД, з ЕДТА); Стаканчик для гематологічного аналізатора (НК 024:2019: 62225 Ємність для лабораторного аналізатора ІВД)</t>
  </si>
  <si>
    <t>CPV ДК 021:2015:64228000-0 - Послуги з транслювання теле- та радіопередач (підпорядковані заклади освіти)</t>
  </si>
  <si>
    <t>ID</t>
  </si>
  <si>
    <t>UA-2022-01-26-003122-a</t>
  </si>
  <si>
    <t>UA-2022-01-26-007359-c</t>
  </si>
  <si>
    <t>UA-2022-01-31-000868-a</t>
  </si>
  <si>
    <t>UA-2022-01-31-003794-c</t>
  </si>
  <si>
    <t>UA-2022-02-01-000448-a</t>
  </si>
  <si>
    <t>UA-2022-02-01-000690-a</t>
  </si>
  <si>
    <t>UA-2022-02-01-000698-a</t>
  </si>
  <si>
    <t>UA-2022-02-01-000712-a</t>
  </si>
  <si>
    <t>UA-2022-02-01-000715-a</t>
  </si>
  <si>
    <t>UA-2022-02-01-000716-a</t>
  </si>
  <si>
    <t>UA-2022-02-01-000719-a</t>
  </si>
  <si>
    <t>UA-2022-02-01-000730-a</t>
  </si>
  <si>
    <t>UA-2022-02-01-000733-a</t>
  </si>
  <si>
    <t>UA-2022-02-01-000742-a</t>
  </si>
  <si>
    <t>UA-2022-02-01-000746-a</t>
  </si>
  <si>
    <t>UA-2022-02-01-000759-a</t>
  </si>
  <si>
    <t>UA-2022-02-01-000770-a</t>
  </si>
  <si>
    <t>UA-2022-02-01-000771-a</t>
  </si>
  <si>
    <t>UA-2022-02-01-000786-a</t>
  </si>
  <si>
    <t>UA-2022-02-01-000792-a</t>
  </si>
  <si>
    <t>UA-2022-02-01-000805-a</t>
  </si>
  <si>
    <t>UA-2022-02-01-000816-a</t>
  </si>
  <si>
    <t>UA-2022-02-01-000828-a</t>
  </si>
  <si>
    <t>UA-2022-02-01-000834-a</t>
  </si>
  <si>
    <t>UA-2022-02-01-000839-a</t>
  </si>
  <si>
    <t>UA-2022-02-01-000854-a</t>
  </si>
  <si>
    <t>UA-2022-02-01-000855-a</t>
  </si>
  <si>
    <t>UA-2022-02-01-000857-a</t>
  </si>
  <si>
    <t>UA-2022-02-01-000876-a</t>
  </si>
  <si>
    <t>UA-2022-02-01-000878-a</t>
  </si>
  <si>
    <t>UA-2022-02-01-000899-a</t>
  </si>
  <si>
    <t>UA-2022-02-01-000908-a</t>
  </si>
  <si>
    <t>UA-2022-02-01-000926-a</t>
  </si>
  <si>
    <t>UA-2022-02-01-000929-a</t>
  </si>
  <si>
    <t>UA-2022-02-01-000934-a</t>
  </si>
  <si>
    <t>UA-2022-02-01-000937-a</t>
  </si>
  <si>
    <t>UA-2022-02-01-000954-a</t>
  </si>
  <si>
    <t>UA-2022-02-01-000968-a</t>
  </si>
  <si>
    <t>UA-2022-02-01-000975-a</t>
  </si>
  <si>
    <t>UA-2022-02-01-000981-a</t>
  </si>
  <si>
    <t>UA-2022-02-01-001000-a</t>
  </si>
  <si>
    <t>UA-2022-02-01-001015-a</t>
  </si>
  <si>
    <t>UA-2022-02-01-001037-a</t>
  </si>
  <si>
    <t>UA-2022-02-01-001049-a</t>
  </si>
  <si>
    <t>UA-2022-02-01-001051-a</t>
  </si>
  <si>
    <t>UA-2022-02-01-001055-a</t>
  </si>
  <si>
    <t>UA-2022-02-01-001057-a</t>
  </si>
  <si>
    <t>UA-2022-02-01-001068-a</t>
  </si>
  <si>
    <t>UA-2022-02-01-001095-a</t>
  </si>
  <si>
    <t>UA-2022-02-01-001101-a</t>
  </si>
  <si>
    <t>UA-2022-02-01-001121-c</t>
  </si>
  <si>
    <t>UA-2022-02-01-001122-a</t>
  </si>
  <si>
    <t>UA-2022-02-01-001134-a</t>
  </si>
  <si>
    <t>UA-2022-02-01-001135-a</t>
  </si>
  <si>
    <t>UA-2022-02-01-001136-a</t>
  </si>
  <si>
    <t>UA-2022-02-01-001152-c</t>
  </si>
  <si>
    <t>UA-2022-02-01-001164-a</t>
  </si>
  <si>
    <t>UA-2022-02-01-001182-a</t>
  </si>
  <si>
    <t>UA-2022-02-01-001188-a</t>
  </si>
  <si>
    <t>UA-2022-02-01-001201-a</t>
  </si>
  <si>
    <t>UA-2022-02-01-001210-a</t>
  </si>
  <si>
    <t>UA-2022-02-01-001211-a</t>
  </si>
  <si>
    <t>UA-2022-02-01-001214-a</t>
  </si>
  <si>
    <t>UA-2022-02-01-001216-a</t>
  </si>
  <si>
    <t>UA-2022-02-01-001224-c</t>
  </si>
  <si>
    <t>UA-2022-02-01-001226-a</t>
  </si>
  <si>
    <t>UA-2022-02-01-001240-a</t>
  </si>
  <si>
    <t>UA-2022-02-01-001252-a</t>
  </si>
  <si>
    <t>UA-2022-02-01-001254-a</t>
  </si>
  <si>
    <t>UA-2022-02-01-001255-a</t>
  </si>
  <si>
    <t>UA-2022-02-01-001276-a</t>
  </si>
  <si>
    <t>UA-2022-02-01-001297-a</t>
  </si>
  <si>
    <t>UA-2022-02-01-001303-a</t>
  </si>
  <si>
    <t>UA-2022-02-01-001312-a</t>
  </si>
  <si>
    <t>UA-2022-02-01-001322-a</t>
  </si>
  <si>
    <t>UA-2022-02-01-001326-c</t>
  </si>
  <si>
    <t>UA-2022-02-01-001331-a</t>
  </si>
  <si>
    <t>UA-2022-02-01-001343-c</t>
  </si>
  <si>
    <t>UA-2022-02-01-001350-a</t>
  </si>
  <si>
    <t>UA-2022-02-01-001351-c</t>
  </si>
  <si>
    <t>UA-2022-02-01-001369-a</t>
  </si>
  <si>
    <t>UA-2022-02-01-001371-a</t>
  </si>
  <si>
    <t>UA-2022-02-01-001372-a</t>
  </si>
  <si>
    <t>UA-2022-02-01-001387-c</t>
  </si>
  <si>
    <t>UA-2022-02-01-001389-c</t>
  </si>
  <si>
    <t>UA-2022-02-01-001392-a</t>
  </si>
  <si>
    <t>UA-2022-02-01-001396-a</t>
  </si>
  <si>
    <t>UA-2022-02-01-001400-a</t>
  </si>
  <si>
    <t>UA-2022-02-01-001412-c</t>
  </si>
  <si>
    <t>UA-2022-02-01-001417-c</t>
  </si>
  <si>
    <t>UA-2022-02-01-001418-c</t>
  </si>
  <si>
    <t>UA-2022-02-01-001424-c</t>
  </si>
  <si>
    <t>UA-2022-02-01-001437-c</t>
  </si>
  <si>
    <t>UA-2022-02-01-001438-a</t>
  </si>
  <si>
    <t>UA-2022-02-01-001439-a</t>
  </si>
  <si>
    <t>UA-2022-02-01-001440-a</t>
  </si>
  <si>
    <t>UA-2022-02-01-001440-c</t>
  </si>
  <si>
    <t>UA-2022-02-01-001445-a</t>
  </si>
  <si>
    <t>UA-2022-02-01-001446-a</t>
  </si>
  <si>
    <t>UA-2022-02-01-001453-a</t>
  </si>
  <si>
    <t>UA-2022-02-01-001456-a</t>
  </si>
  <si>
    <t>UA-2022-02-01-001459-c</t>
  </si>
  <si>
    <t>UA-2022-02-01-001460-a</t>
  </si>
  <si>
    <t>UA-2022-02-01-001463-a</t>
  </si>
  <si>
    <t>UA-2022-02-01-001463-c</t>
  </si>
  <si>
    <t>UA-2022-02-01-001464-c</t>
  </si>
  <si>
    <t>UA-2022-02-01-001465-a</t>
  </si>
  <si>
    <t>UA-2022-02-01-001472-a</t>
  </si>
  <si>
    <t>UA-2022-02-01-001474-c</t>
  </si>
  <si>
    <t>UA-2022-02-01-001480-c</t>
  </si>
  <si>
    <t>UA-2022-02-01-001484-c</t>
  </si>
  <si>
    <t>UA-2022-02-01-001488-a</t>
  </si>
  <si>
    <t>UA-2022-02-01-001512-a</t>
  </si>
  <si>
    <t>UA-2022-02-01-001514-a</t>
  </si>
  <si>
    <t>UA-2022-02-01-001516-a</t>
  </si>
  <si>
    <t>UA-2022-02-01-001531-a</t>
  </si>
  <si>
    <t>UA-2022-02-01-001541-c</t>
  </si>
  <si>
    <t>UA-2022-02-01-001545-c</t>
  </si>
  <si>
    <t>UA-2022-02-01-001551-c</t>
  </si>
  <si>
    <t>UA-2022-02-01-001554-a</t>
  </si>
  <si>
    <t>UA-2022-02-01-001554-c</t>
  </si>
  <si>
    <t>UA-2022-02-01-001555-c</t>
  </si>
  <si>
    <t>UA-2022-02-01-001557-c</t>
  </si>
  <si>
    <t>UA-2022-02-01-001561-c</t>
  </si>
  <si>
    <t>UA-2022-02-01-001566-a</t>
  </si>
  <si>
    <t>UA-2022-02-01-001573-c</t>
  </si>
  <si>
    <t>UA-2022-02-01-001578-c</t>
  </si>
  <si>
    <t>UA-2022-02-01-001582-a</t>
  </si>
  <si>
    <t>UA-2022-02-01-001583-c</t>
  </si>
  <si>
    <t>UA-2022-02-01-001584-a</t>
  </si>
  <si>
    <t>UA-2022-02-01-001585-a</t>
  </si>
  <si>
    <t>UA-2022-02-01-001596-c</t>
  </si>
  <si>
    <t>UA-2022-02-01-001599-c</t>
  </si>
  <si>
    <t>UA-2022-02-01-001600-a</t>
  </si>
  <si>
    <t>UA-2022-02-01-001601-a</t>
  </si>
  <si>
    <t>UA-2022-02-01-001605-c</t>
  </si>
  <si>
    <t>UA-2022-02-01-001619-c</t>
  </si>
  <si>
    <t>UA-2022-02-01-001622-c</t>
  </si>
  <si>
    <t>UA-2022-02-01-001624-c</t>
  </si>
  <si>
    <t>UA-2022-02-01-001628-c</t>
  </si>
  <si>
    <t>UA-2022-02-01-001630-c</t>
  </si>
  <si>
    <t>UA-2022-02-01-001638-a</t>
  </si>
  <si>
    <t>UA-2022-02-01-001639-c</t>
  </si>
  <si>
    <t>UA-2022-02-01-001641-c</t>
  </si>
  <si>
    <t>UA-2022-02-01-001642-c</t>
  </si>
  <si>
    <t>UA-2022-02-01-001644-a</t>
  </si>
  <si>
    <t>UA-2022-02-01-001652-a</t>
  </si>
  <si>
    <t>UA-2022-02-01-001652-c</t>
  </si>
  <si>
    <t>UA-2022-02-01-001654-c</t>
  </si>
  <si>
    <t>UA-2022-02-01-001659-c</t>
  </si>
  <si>
    <t>UA-2022-02-01-001662-c</t>
  </si>
  <si>
    <t>UA-2022-02-01-001664-a</t>
  </si>
  <si>
    <t>UA-2022-02-01-001665-c</t>
  </si>
  <si>
    <t>UA-2022-02-01-001666-c</t>
  </si>
  <si>
    <t>UA-2022-02-01-001674-a</t>
  </si>
  <si>
    <t>UA-2022-02-01-001677-c</t>
  </si>
  <si>
    <t>UA-2022-02-01-001681-a</t>
  </si>
  <si>
    <t>UA-2022-02-01-001685-c</t>
  </si>
  <si>
    <t>UA-2022-02-01-001694-c</t>
  </si>
  <si>
    <t>UA-2022-02-01-001700-a</t>
  </si>
  <si>
    <t>UA-2022-02-01-001702-a</t>
  </si>
  <si>
    <t>UA-2022-02-01-001709-c</t>
  </si>
  <si>
    <t>UA-2022-02-01-001715-c</t>
  </si>
  <si>
    <t>UA-2022-02-01-001720-a</t>
  </si>
  <si>
    <t>UA-2022-02-01-001721-a</t>
  </si>
  <si>
    <t>UA-2022-02-01-001729-c</t>
  </si>
  <si>
    <t>UA-2022-02-01-001731-c</t>
  </si>
  <si>
    <t>UA-2022-02-01-001733-a</t>
  </si>
  <si>
    <t>UA-2022-02-01-001733-c</t>
  </si>
  <si>
    <t>UA-2022-02-01-001736-c</t>
  </si>
  <si>
    <t>UA-2022-02-01-001744-a</t>
  </si>
  <si>
    <t>UA-2022-02-01-001745-a</t>
  </si>
  <si>
    <t>UA-2022-02-01-001749-c</t>
  </si>
  <si>
    <t>UA-2022-02-01-001755-a</t>
  </si>
  <si>
    <t>UA-2022-02-01-001758-c</t>
  </si>
  <si>
    <t>UA-2022-02-01-001764-c</t>
  </si>
  <si>
    <t>UA-2022-02-01-001765-c</t>
  </si>
  <si>
    <t>UA-2022-02-01-001774-c</t>
  </si>
  <si>
    <t>UA-2022-02-01-001776-a</t>
  </si>
  <si>
    <t>UA-2022-02-01-001777-c</t>
  </si>
  <si>
    <t>UA-2022-02-01-001783-a</t>
  </si>
  <si>
    <t>UA-2022-02-01-001789-c</t>
  </si>
  <si>
    <t>UA-2022-02-01-001790-a</t>
  </si>
  <si>
    <t>UA-2022-02-01-001801-c</t>
  </si>
  <si>
    <t>UA-2022-02-01-001802-c</t>
  </si>
  <si>
    <t>UA-2022-02-01-001808-a</t>
  </si>
  <si>
    <t>UA-2022-02-01-001821-c</t>
  </si>
  <si>
    <t>UA-2022-02-01-001826-c</t>
  </si>
  <si>
    <t>UA-2022-02-01-001828-c</t>
  </si>
  <si>
    <t>UA-2022-02-01-001833-a</t>
  </si>
  <si>
    <t>UA-2022-02-01-001834-c</t>
  </si>
  <si>
    <t>UA-2022-02-01-001841-a</t>
  </si>
  <si>
    <t>UA-2022-02-01-001843-c</t>
  </si>
  <si>
    <t>UA-2022-02-01-001846-c</t>
  </si>
  <si>
    <t>UA-2022-02-01-001849-a</t>
  </si>
  <si>
    <t>UA-2022-02-01-001851-c</t>
  </si>
  <si>
    <t>UA-2022-02-01-001852-a</t>
  </si>
  <si>
    <t>UA-2022-02-01-001852-c</t>
  </si>
  <si>
    <t>UA-2022-02-01-001858-c</t>
  </si>
  <si>
    <t>UA-2022-02-01-001865-a</t>
  </si>
  <si>
    <t>UA-2022-02-01-001866-a</t>
  </si>
  <si>
    <t>UA-2022-02-01-001873-c</t>
  </si>
  <si>
    <t>UA-2022-02-01-001874-c</t>
  </si>
  <si>
    <t>UA-2022-02-01-001882-a</t>
  </si>
  <si>
    <t>UA-2022-02-01-001885-a</t>
  </si>
  <si>
    <t>UA-2022-02-01-001886-a</t>
  </si>
  <si>
    <t>UA-2022-02-01-001894-a</t>
  </si>
  <si>
    <t>UA-2022-02-01-001904-c</t>
  </si>
  <si>
    <t>UA-2022-02-01-001913-a</t>
  </si>
  <si>
    <t>UA-2022-02-01-001915-a</t>
  </si>
  <si>
    <t>UA-2022-02-01-001917-a</t>
  </si>
  <si>
    <t>UA-2022-02-01-001919-a</t>
  </si>
  <si>
    <t>UA-2022-02-01-001922-c</t>
  </si>
  <si>
    <t>UA-2022-02-01-001924-a</t>
  </si>
  <si>
    <t>UA-2022-02-01-001929-c</t>
  </si>
  <si>
    <t>UA-2022-02-01-001932-a</t>
  </si>
  <si>
    <t>UA-2022-02-01-001932-c</t>
  </si>
  <si>
    <t>UA-2022-02-01-001933-a</t>
  </si>
  <si>
    <t>UA-2022-02-01-001934-a</t>
  </si>
  <si>
    <t>UA-2022-02-01-001934-c</t>
  </si>
  <si>
    <t>UA-2022-02-01-001955-a</t>
  </si>
  <si>
    <t>UA-2022-02-01-001957-c</t>
  </si>
  <si>
    <t>UA-2022-02-01-001962-c</t>
  </si>
  <si>
    <t>UA-2022-02-01-001963-c</t>
  </si>
  <si>
    <t>UA-2022-02-01-001973-a</t>
  </si>
  <si>
    <t>UA-2022-02-01-001976-c</t>
  </si>
  <si>
    <t>UA-2022-02-01-001982-a</t>
  </si>
  <si>
    <t>UA-2022-02-01-001986-a</t>
  </si>
  <si>
    <t>UA-2022-02-01-001988-b</t>
  </si>
  <si>
    <t>UA-2022-02-01-001990-a</t>
  </si>
  <si>
    <t>UA-2022-02-01-001994-a</t>
  </si>
  <si>
    <t>UA-2022-02-01-001998-c</t>
  </si>
  <si>
    <t>UA-2022-02-01-001999-a</t>
  </si>
  <si>
    <t>UA-2022-02-01-002002-c</t>
  </si>
  <si>
    <t>UA-2022-02-01-002004-c</t>
  </si>
  <si>
    <t>UA-2022-02-01-002006-c</t>
  </si>
  <si>
    <t>UA-2022-02-01-002020-a</t>
  </si>
  <si>
    <t>UA-2022-02-01-002026-c</t>
  </si>
  <si>
    <t>UA-2022-02-01-002031-a</t>
  </si>
  <si>
    <t>UA-2022-02-01-002038-a</t>
  </si>
  <si>
    <t>UA-2022-02-01-002044-a</t>
  </si>
  <si>
    <t>UA-2022-02-01-002045-a</t>
  </si>
  <si>
    <t>UA-2022-02-01-002046-a</t>
  </si>
  <si>
    <t>UA-2022-02-01-002049-a</t>
  </si>
  <si>
    <t>UA-2022-02-01-002055-a</t>
  </si>
  <si>
    <t>UA-2022-02-01-002057-a</t>
  </si>
  <si>
    <t>UA-2022-02-01-002068-a</t>
  </si>
  <si>
    <t>UA-2022-02-01-002071-c</t>
  </si>
  <si>
    <t>UA-2022-02-01-002074-a</t>
  </si>
  <si>
    <t>UA-2022-02-01-002075-a</t>
  </si>
  <si>
    <t>UA-2022-02-01-002100-c</t>
  </si>
  <si>
    <t>UA-2022-02-01-002107-c</t>
  </si>
  <si>
    <t>UA-2022-02-01-002111-c</t>
  </si>
  <si>
    <t>UA-2022-02-01-002116-c</t>
  </si>
  <si>
    <t>UA-2022-02-01-002118-c</t>
  </si>
  <si>
    <t>UA-2022-02-01-002124-c</t>
  </si>
  <si>
    <t>UA-2022-02-01-002167-c</t>
  </si>
  <si>
    <t>UA-2022-02-01-002169-c</t>
  </si>
  <si>
    <t>UA-2022-02-01-002174-c</t>
  </si>
  <si>
    <t>UA-2022-02-01-002176-c</t>
  </si>
  <si>
    <t>UA-2022-02-01-002189-c</t>
  </si>
  <si>
    <t>UA-2022-02-01-002200-c</t>
  </si>
  <si>
    <t>UA-2022-02-01-002211-c</t>
  </si>
  <si>
    <t>UA-2022-02-01-002213-c</t>
  </si>
  <si>
    <t>UA-2022-02-01-002214-c</t>
  </si>
  <si>
    <t>UA-2022-02-01-002225-c</t>
  </si>
  <si>
    <t>UA-2022-02-01-002228-c</t>
  </si>
  <si>
    <t>UA-2022-02-01-002239-c</t>
  </si>
  <si>
    <t>UA-2022-02-01-002259-c</t>
  </si>
  <si>
    <t>UA-2022-02-01-002260-c</t>
  </si>
  <si>
    <t>UA-2022-02-01-002262-c</t>
  </si>
  <si>
    <t>UA-2022-02-01-002280-c</t>
  </si>
  <si>
    <t>UA-2022-02-01-002281-c</t>
  </si>
  <si>
    <t>UA-2022-02-01-002286-c</t>
  </si>
  <si>
    <t>UA-2022-02-01-002291-c</t>
  </si>
  <si>
    <t>UA-2022-02-01-002303-c</t>
  </si>
  <si>
    <t>UA-2022-02-01-002305-c</t>
  </si>
  <si>
    <t>UA-2022-02-01-002328-c</t>
  </si>
  <si>
    <t>UA-2022-02-01-002334-c</t>
  </si>
  <si>
    <t>UA-2022-02-01-002339-c</t>
  </si>
  <si>
    <t>UA-2022-02-01-002351-c</t>
  </si>
  <si>
    <t>UA-2022-02-01-002367-c</t>
  </si>
  <si>
    <t>UA-2022-02-01-002376-c</t>
  </si>
  <si>
    <t>UA-2022-02-01-002379-c</t>
  </si>
  <si>
    <t>UA-2022-02-01-002385-c</t>
  </si>
  <si>
    <t>UA-2022-02-01-002400-c</t>
  </si>
  <si>
    <t>UA-2022-02-01-002405-c</t>
  </si>
  <si>
    <t>UA-2022-02-01-002412-c</t>
  </si>
  <si>
    <t>UA-2022-02-01-002448-c</t>
  </si>
  <si>
    <t>UA-2022-02-01-002457-c</t>
  </si>
  <si>
    <t>UA-2022-02-01-002473-c</t>
  </si>
  <si>
    <t>UA-2022-02-01-002482-c</t>
  </si>
  <si>
    <t>UA-2022-02-01-002484-c</t>
  </si>
  <si>
    <t>UA-2022-02-01-002517-c</t>
  </si>
  <si>
    <t>UA-2022-02-01-002519-c</t>
  </si>
  <si>
    <t>UA-2022-02-01-002522-c</t>
  </si>
  <si>
    <t>UA-2022-02-01-002523-c</t>
  </si>
  <si>
    <t>UA-2022-02-01-002534-c</t>
  </si>
  <si>
    <t>UA-2022-02-01-002535-c</t>
  </si>
  <si>
    <t>UA-2022-02-01-002544-c</t>
  </si>
  <si>
    <t>UA-2022-02-01-002558-c</t>
  </si>
  <si>
    <t>UA-2022-02-01-002568-c</t>
  </si>
  <si>
    <t>UA-2022-02-01-002572-c</t>
  </si>
  <si>
    <t>UA-2022-02-01-002576-c</t>
  </si>
  <si>
    <t>UA-2022-02-01-002579-c</t>
  </si>
  <si>
    <t>UA-2022-02-01-002597-c</t>
  </si>
  <si>
    <t>UA-2022-02-01-002606-c</t>
  </si>
  <si>
    <t>UA-2022-02-01-002616-c</t>
  </si>
  <si>
    <t>UA-2022-02-01-002633-c</t>
  </si>
  <si>
    <t>UA-2022-02-01-002634-c</t>
  </si>
  <si>
    <t>UA-2022-02-01-002636-c</t>
  </si>
  <si>
    <t>UA-2022-02-01-002659-c</t>
  </si>
  <si>
    <t>UA-2022-02-01-002660-c</t>
  </si>
  <si>
    <t>UA-2022-02-01-002693-c</t>
  </si>
  <si>
    <t>UA-2022-02-01-002694-c</t>
  </si>
  <si>
    <t>UA-2022-02-01-002720-c</t>
  </si>
  <si>
    <t>UA-2022-02-01-002731-c</t>
  </si>
  <si>
    <t>UA-2022-02-01-002737-c</t>
  </si>
  <si>
    <t>UA-2022-02-01-002747-c</t>
  </si>
  <si>
    <t>UA-2022-02-01-002749-c</t>
  </si>
  <si>
    <t>UA-2022-02-01-002763-c</t>
  </si>
  <si>
    <t>UA-2022-02-01-002770-b</t>
  </si>
  <si>
    <t>UA-2022-02-01-002778-c</t>
  </si>
  <si>
    <t>UA-2022-02-01-002782-c</t>
  </si>
  <si>
    <t>UA-2022-02-01-002784-c</t>
  </si>
  <si>
    <t>UA-2022-02-01-002790-c</t>
  </si>
  <si>
    <t>UA-2022-02-01-002812-c</t>
  </si>
  <si>
    <t>UA-2022-02-01-002814-c</t>
  </si>
  <si>
    <t>UA-2022-02-01-002815-c</t>
  </si>
  <si>
    <t>UA-2022-02-01-002824-c</t>
  </si>
  <si>
    <t>UA-2022-02-01-002831-c</t>
  </si>
  <si>
    <t>UA-2022-02-01-002840-c</t>
  </si>
  <si>
    <t>UA-2022-02-01-002850-c</t>
  </si>
  <si>
    <t>UA-2022-02-01-002874-c</t>
  </si>
  <si>
    <t>UA-2022-02-01-002880-c</t>
  </si>
  <si>
    <t>UA-2022-02-01-002883-c</t>
  </si>
  <si>
    <t>UA-2022-02-01-002885-c</t>
  </si>
  <si>
    <t>UA-2022-02-01-002899-c</t>
  </si>
  <si>
    <t>UA-2022-02-01-002902-c</t>
  </si>
  <si>
    <t>UA-2022-02-01-002911-c</t>
  </si>
  <si>
    <t>UA-2022-02-01-002926-b</t>
  </si>
  <si>
    <t>UA-2022-02-01-002928-c</t>
  </si>
  <si>
    <t>UA-2022-02-01-002943-c</t>
  </si>
  <si>
    <t>UA-2022-02-01-002954-c</t>
  </si>
  <si>
    <t>UA-2022-02-01-002962-c</t>
  </si>
  <si>
    <t>UA-2022-02-01-002971-c</t>
  </si>
  <si>
    <t>UA-2022-02-01-002977-b</t>
  </si>
  <si>
    <t>UA-2022-02-01-002981-c</t>
  </si>
  <si>
    <t>UA-2022-02-01-002983-c</t>
  </si>
  <si>
    <t>UA-2022-02-01-002991-c</t>
  </si>
  <si>
    <t>UA-2022-02-01-002992-c</t>
  </si>
  <si>
    <t>UA-2022-02-01-002997-c</t>
  </si>
  <si>
    <t>UA-2022-02-01-003016-c</t>
  </si>
  <si>
    <t>UA-2022-02-01-003021-b</t>
  </si>
  <si>
    <t>UA-2022-02-01-003023-b</t>
  </si>
  <si>
    <t>UA-2022-02-01-003023-c</t>
  </si>
  <si>
    <t>UA-2022-02-01-003026-c</t>
  </si>
  <si>
    <t>UA-2022-02-01-003046-c</t>
  </si>
  <si>
    <t>UA-2022-02-01-003060-b</t>
  </si>
  <si>
    <t>UA-2022-02-01-003069-b</t>
  </si>
  <si>
    <t>UA-2022-02-01-003080-b</t>
  </si>
  <si>
    <t>UA-2022-02-01-003082-b</t>
  </si>
  <si>
    <t>UA-2022-02-01-003089-c</t>
  </si>
  <si>
    <t>UA-2022-02-01-003093-c</t>
  </si>
  <si>
    <t>UA-2022-02-01-003094-b</t>
  </si>
  <si>
    <t>UA-2022-02-01-003099-b</t>
  </si>
  <si>
    <t>UA-2022-02-01-003107-c</t>
  </si>
  <si>
    <t>UA-2022-02-01-003111-c</t>
  </si>
  <si>
    <t>UA-2022-02-01-003125-b</t>
  </si>
  <si>
    <t>UA-2022-02-01-003125-c</t>
  </si>
  <si>
    <t>UA-2022-02-01-003127-b</t>
  </si>
  <si>
    <t>UA-2022-02-01-003130-c</t>
  </si>
  <si>
    <t>UA-2022-02-01-003133-c</t>
  </si>
  <si>
    <t>UA-2022-02-01-003137-b</t>
  </si>
  <si>
    <t>UA-2022-02-01-003143-b</t>
  </si>
  <si>
    <t>UA-2022-02-01-003145-c</t>
  </si>
  <si>
    <t>UA-2022-02-01-003153-b</t>
  </si>
  <si>
    <t>UA-2022-02-01-003155-b</t>
  </si>
  <si>
    <t>UA-2022-02-01-003156-c</t>
  </si>
  <si>
    <t>UA-2022-02-01-003157-b</t>
  </si>
  <si>
    <t>UA-2022-02-01-003159-b</t>
  </si>
  <si>
    <t>UA-2022-02-01-003163-b</t>
  </si>
  <si>
    <t>UA-2022-02-01-003167-c</t>
  </si>
  <si>
    <t>UA-2022-02-01-003169-c</t>
  </si>
  <si>
    <t>UA-2022-02-01-003173-c</t>
  </si>
  <si>
    <t>UA-2022-02-01-003182-b</t>
  </si>
  <si>
    <t>UA-2022-02-01-003184-b</t>
  </si>
  <si>
    <t>UA-2022-02-01-003188-c</t>
  </si>
  <si>
    <t>UA-2022-02-01-003200-c</t>
  </si>
  <si>
    <t>UA-2022-02-01-003203-c</t>
  </si>
  <si>
    <t>UA-2022-02-01-003208-c</t>
  </si>
  <si>
    <t>UA-2022-02-01-003210-b</t>
  </si>
  <si>
    <t>UA-2022-02-01-003211-c</t>
  </si>
  <si>
    <t>UA-2022-02-01-003213-b</t>
  </si>
  <si>
    <t>UA-2022-02-01-003215-b</t>
  </si>
  <si>
    <t>UA-2022-02-01-003215-c</t>
  </si>
  <si>
    <t>UA-2022-02-01-003216-c</t>
  </si>
  <si>
    <t>UA-2022-02-01-003217-c</t>
  </si>
  <si>
    <t>UA-2022-02-01-003218-c</t>
  </si>
  <si>
    <t>UA-2022-02-01-003224-c</t>
  </si>
  <si>
    <t>UA-2022-02-01-003234-b</t>
  </si>
  <si>
    <t>UA-2022-02-01-003236-b</t>
  </si>
  <si>
    <t>UA-2022-02-01-003236-c</t>
  </si>
  <si>
    <t>UA-2022-02-01-003246-c</t>
  </si>
  <si>
    <t>UA-2022-02-01-003259-b</t>
  </si>
  <si>
    <t>UA-2022-02-01-003268-b</t>
  </si>
  <si>
    <t>UA-2022-02-01-003271-b</t>
  </si>
  <si>
    <t>UA-2022-02-01-003274-c</t>
  </si>
  <si>
    <t>UA-2022-02-01-003280-c</t>
  </si>
  <si>
    <t>UA-2022-02-01-003285-c</t>
  </si>
  <si>
    <t>UA-2022-02-01-003287-b</t>
  </si>
  <si>
    <t>UA-2022-02-01-003288-c</t>
  </si>
  <si>
    <t>UA-2022-02-01-003292-b</t>
  </si>
  <si>
    <t>UA-2022-02-01-003293-c</t>
  </si>
  <si>
    <t>UA-2022-02-01-003294-b</t>
  </si>
  <si>
    <t>UA-2022-02-01-003298-b</t>
  </si>
  <si>
    <t>UA-2022-02-01-003300-b</t>
  </si>
  <si>
    <t>UA-2022-02-01-003303-b</t>
  </si>
  <si>
    <t>UA-2022-02-01-003304-c</t>
  </si>
  <si>
    <t>UA-2022-02-01-003305-c</t>
  </si>
  <si>
    <t>UA-2022-02-01-003318-b</t>
  </si>
  <si>
    <t>UA-2022-02-01-003323-b</t>
  </si>
  <si>
    <t>UA-2022-02-01-003325-b</t>
  </si>
  <si>
    <t>UA-2022-02-01-003328-c</t>
  </si>
  <si>
    <t>UA-2022-02-01-003329-b</t>
  </si>
  <si>
    <t>UA-2022-02-01-003341-b</t>
  </si>
  <si>
    <t>UA-2022-02-01-003342-c</t>
  </si>
  <si>
    <t>UA-2022-02-01-003345-c</t>
  </si>
  <si>
    <t>UA-2022-02-01-003350-b</t>
  </si>
  <si>
    <t>UA-2022-02-01-003352-b</t>
  </si>
  <si>
    <t>UA-2022-02-01-003368-c</t>
  </si>
  <si>
    <t>UA-2022-02-01-003378-b</t>
  </si>
  <si>
    <t>UA-2022-02-01-003388-b</t>
  </si>
  <si>
    <t>UA-2022-02-01-003389-b</t>
  </si>
  <si>
    <t>UA-2022-02-01-003392-c</t>
  </si>
  <si>
    <t>UA-2022-02-01-003393-b</t>
  </si>
  <si>
    <t>UA-2022-02-01-003394-b</t>
  </si>
  <si>
    <t>UA-2022-02-01-003397-b</t>
  </si>
  <si>
    <t>UA-2022-02-01-003401-b</t>
  </si>
  <si>
    <t>UA-2022-02-01-003409-b</t>
  </si>
  <si>
    <t>UA-2022-02-01-003414-b</t>
  </si>
  <si>
    <t>UA-2022-02-01-003420-c</t>
  </si>
  <si>
    <t>UA-2022-02-01-003428-b</t>
  </si>
  <si>
    <t>UA-2022-02-01-003442-b</t>
  </si>
  <si>
    <t>UA-2022-02-01-003443-b</t>
  </si>
  <si>
    <t>UA-2022-02-01-003445-b</t>
  </si>
  <si>
    <t>UA-2022-02-01-003451-b</t>
  </si>
  <si>
    <t>UA-2022-02-01-003470-b</t>
  </si>
  <si>
    <t>UA-2022-02-01-003476-c</t>
  </si>
  <si>
    <t>UA-2022-02-01-003486-b</t>
  </si>
  <si>
    <t>UA-2022-02-01-003489-b</t>
  </si>
  <si>
    <t>UA-2022-02-01-003496-c</t>
  </si>
  <si>
    <t>UA-2022-02-01-003504-b</t>
  </si>
  <si>
    <t>UA-2022-02-01-003515-b</t>
  </si>
  <si>
    <t>UA-2022-02-01-003516-b</t>
  </si>
  <si>
    <t>UA-2022-02-01-003517-c</t>
  </si>
  <si>
    <t>UA-2022-02-01-003523-b</t>
  </si>
  <si>
    <t>UA-2022-02-01-003529-b</t>
  </si>
  <si>
    <t>UA-2022-02-01-003530-b</t>
  </si>
  <si>
    <t>UA-2022-02-01-003531-b</t>
  </si>
  <si>
    <t>UA-2022-02-01-003533-c</t>
  </si>
  <si>
    <t>UA-2022-02-01-003553-b</t>
  </si>
  <si>
    <t>UA-2022-02-01-003561-b</t>
  </si>
  <si>
    <t>UA-2022-02-01-003563-c</t>
  </si>
  <si>
    <t>UA-2022-02-01-003570-b</t>
  </si>
  <si>
    <t>UA-2022-02-01-003576-c</t>
  </si>
  <si>
    <t>UA-2022-02-01-003577-b</t>
  </si>
  <si>
    <t>UA-2022-02-01-003583-b</t>
  </si>
  <si>
    <t>UA-2022-02-01-003589-b</t>
  </si>
  <si>
    <t>UA-2022-02-01-003595-c</t>
  </si>
  <si>
    <t>UA-2022-02-01-003600-c</t>
  </si>
  <si>
    <t>UA-2022-02-01-003605-b</t>
  </si>
  <si>
    <t>UA-2022-02-01-003607-b</t>
  </si>
  <si>
    <t>UA-2022-02-01-003619-c</t>
  </si>
  <si>
    <t>UA-2022-02-01-003626-c</t>
  </si>
  <si>
    <t>UA-2022-02-01-003644-c</t>
  </si>
  <si>
    <t>UA-2022-02-01-003650-b</t>
  </si>
  <si>
    <t>UA-2022-02-01-003653-c</t>
  </si>
  <si>
    <t>UA-2022-02-01-003663-c</t>
  </si>
  <si>
    <t>UA-2022-02-01-003664-b</t>
  </si>
  <si>
    <t>UA-2022-02-01-003666-c</t>
  </si>
  <si>
    <t>UA-2022-02-01-003667-b</t>
  </si>
  <si>
    <t>UA-2022-02-01-003671-b</t>
  </si>
  <si>
    <t>UA-2022-02-01-003672-b</t>
  </si>
  <si>
    <t>UA-2022-02-01-003680-b</t>
  </si>
  <si>
    <t>UA-2022-02-01-003690-c</t>
  </si>
  <si>
    <t>UA-2022-02-01-003691-c</t>
  </si>
  <si>
    <t>UA-2022-02-01-003693-c</t>
  </si>
  <si>
    <t>UA-2022-02-01-003698-c</t>
  </si>
  <si>
    <t>UA-2022-02-01-003699-c</t>
  </si>
  <si>
    <t>UA-2022-02-01-003708-c</t>
  </si>
  <si>
    <t>UA-2022-02-01-003711-b</t>
  </si>
  <si>
    <t>UA-2022-02-01-003733-c</t>
  </si>
  <si>
    <t>UA-2022-02-01-003735-b</t>
  </si>
  <si>
    <t>UA-2022-02-01-003739-b</t>
  </si>
  <si>
    <t>UA-2022-02-01-003740-b</t>
  </si>
  <si>
    <t>UA-2022-02-01-003740-c</t>
  </si>
  <si>
    <t>UA-2022-02-01-003741-b</t>
  </si>
  <si>
    <t>UA-2022-02-01-003749-c</t>
  </si>
  <si>
    <t>UA-2022-02-01-003753-c</t>
  </si>
  <si>
    <t>UA-2022-02-01-003755-c</t>
  </si>
  <si>
    <t>UA-2022-02-01-003764-c</t>
  </si>
  <si>
    <t>UA-2022-02-01-003766-c</t>
  </si>
  <si>
    <t>UA-2022-02-01-003779-b</t>
  </si>
  <si>
    <t>UA-2022-02-01-003789-b</t>
  </si>
  <si>
    <t>UA-2022-02-01-003799-b</t>
  </si>
  <si>
    <t>UA-2022-02-01-003808-b</t>
  </si>
  <si>
    <t>UA-2022-02-01-003808-c</t>
  </si>
  <si>
    <t>UA-2022-02-01-003814-b</t>
  </si>
  <si>
    <t>UA-2022-02-01-003820-b</t>
  </si>
  <si>
    <t>UA-2022-02-01-003833-c</t>
  </si>
  <si>
    <t>UA-2022-02-01-003838-b</t>
  </si>
  <si>
    <t>UA-2022-02-01-003841-c</t>
  </si>
  <si>
    <t>UA-2022-02-01-003842-c</t>
  </si>
  <si>
    <t>UA-2022-02-01-003843-c</t>
  </si>
  <si>
    <t>UA-2022-02-01-003844-c</t>
  </si>
  <si>
    <t>UA-2022-02-01-003847-b</t>
  </si>
  <si>
    <t>UA-2022-02-01-003850-b</t>
  </si>
  <si>
    <t>UA-2022-02-01-003851-b</t>
  </si>
  <si>
    <t>UA-2022-02-01-003853-b</t>
  </si>
  <si>
    <t>UA-2022-02-01-003869-c</t>
  </si>
  <si>
    <t>UA-2022-02-01-003871-c</t>
  </si>
  <si>
    <t>UA-2022-02-01-003881-c</t>
  </si>
  <si>
    <t>UA-2022-02-01-003883-b</t>
  </si>
  <si>
    <t>UA-2022-02-01-003884-b</t>
  </si>
  <si>
    <t>UA-2022-02-01-003887-c</t>
  </si>
  <si>
    <t>UA-2022-02-01-003893-c</t>
  </si>
  <si>
    <t>UA-2022-02-01-003895-c</t>
  </si>
  <si>
    <t>UA-2022-02-01-003900-c</t>
  </si>
  <si>
    <t>UA-2022-02-01-003915-b</t>
  </si>
  <si>
    <t>UA-2022-02-01-003927-b</t>
  </si>
  <si>
    <t>UA-2022-02-01-003928-b</t>
  </si>
  <si>
    <t>UA-2022-02-01-003930-b</t>
  </si>
  <si>
    <t>UA-2022-02-01-003931-c</t>
  </si>
  <si>
    <t>UA-2022-02-01-003936-c</t>
  </si>
  <si>
    <t>UA-2022-02-01-003941-c</t>
  </si>
  <si>
    <t>UA-2022-02-01-003948-c</t>
  </si>
  <si>
    <t>UA-2022-02-01-003951-c</t>
  </si>
  <si>
    <t>UA-2022-02-01-003953-c</t>
  </si>
  <si>
    <t>UA-2022-02-01-003967-b</t>
  </si>
  <si>
    <t>UA-2022-02-01-003968-b</t>
  </si>
  <si>
    <t>UA-2022-02-01-003971-b</t>
  </si>
  <si>
    <t>UA-2022-02-01-003972-c</t>
  </si>
  <si>
    <t>UA-2022-02-01-003992-b</t>
  </si>
  <si>
    <t>UA-2022-02-01-004001-c</t>
  </si>
  <si>
    <t>UA-2022-02-01-004009-c</t>
  </si>
  <si>
    <t>UA-2022-02-01-004011-b</t>
  </si>
  <si>
    <t>UA-2022-02-01-004014-b</t>
  </si>
  <si>
    <t>UA-2022-02-01-004014-c</t>
  </si>
  <si>
    <t>UA-2022-02-01-004020-b</t>
  </si>
  <si>
    <t>UA-2022-02-01-004025-c</t>
  </si>
  <si>
    <t>UA-2022-02-01-004034-c</t>
  </si>
  <si>
    <t>UA-2022-02-01-004037-b</t>
  </si>
  <si>
    <t>UA-2022-02-01-004038-c</t>
  </si>
  <si>
    <t>UA-2022-02-01-004039-c</t>
  </si>
  <si>
    <t>UA-2022-02-01-004043-b</t>
  </si>
  <si>
    <t>UA-2022-02-01-004068-c</t>
  </si>
  <si>
    <t>UA-2022-02-01-004071-b</t>
  </si>
  <si>
    <t>UA-2022-02-01-004073-c</t>
  </si>
  <si>
    <t>UA-2022-02-01-004075-c</t>
  </si>
  <si>
    <t>UA-2022-02-01-004078-c</t>
  </si>
  <si>
    <t>UA-2022-02-01-004080-c</t>
  </si>
  <si>
    <t>UA-2022-02-01-004082-c</t>
  </si>
  <si>
    <t>UA-2022-02-01-004085-c</t>
  </si>
  <si>
    <t>UA-2022-02-01-004086-c</t>
  </si>
  <si>
    <t>UA-2022-02-01-004089-b</t>
  </si>
  <si>
    <t>UA-2022-02-01-004093-c</t>
  </si>
  <si>
    <t>UA-2022-02-01-004099-b</t>
  </si>
  <si>
    <t>UA-2022-02-01-004103-c</t>
  </si>
  <si>
    <t>UA-2022-02-01-004107-c</t>
  </si>
  <si>
    <t>UA-2022-02-01-004112-c</t>
  </si>
  <si>
    <t>UA-2022-02-01-004117-c</t>
  </si>
  <si>
    <t>UA-2022-02-01-004128-c</t>
  </si>
  <si>
    <t>UA-2022-02-01-004136-b</t>
  </si>
  <si>
    <t>UA-2022-02-01-004137-b</t>
  </si>
  <si>
    <t>UA-2022-02-01-004141-b</t>
  </si>
  <si>
    <t>UA-2022-02-01-004143-c</t>
  </si>
  <si>
    <t>UA-2022-02-01-004146-b</t>
  </si>
  <si>
    <t>UA-2022-02-01-004148-b</t>
  </si>
  <si>
    <t>UA-2022-02-01-004154-b</t>
  </si>
  <si>
    <t>UA-2022-02-01-004159-c</t>
  </si>
  <si>
    <t>UA-2022-02-01-004162-c</t>
  </si>
  <si>
    <t>UA-2022-02-01-004181-b</t>
  </si>
  <si>
    <t>UA-2022-02-01-004182-b</t>
  </si>
  <si>
    <t>UA-2022-02-01-004182-c</t>
  </si>
  <si>
    <t>UA-2022-02-01-004183-c</t>
  </si>
  <si>
    <t>UA-2022-02-01-004185-b</t>
  </si>
  <si>
    <t>UA-2022-02-01-004187-c</t>
  </si>
  <si>
    <t>UA-2022-02-01-004197-b</t>
  </si>
  <si>
    <t>UA-2022-02-01-004199-c</t>
  </si>
  <si>
    <t>UA-2022-02-01-004211-c</t>
  </si>
  <si>
    <t>UA-2022-02-01-004212-c</t>
  </si>
  <si>
    <t>UA-2022-02-01-004214-c</t>
  </si>
  <si>
    <t>UA-2022-02-01-004215-b</t>
  </si>
  <si>
    <t>UA-2022-02-01-004227-b</t>
  </si>
  <si>
    <t>UA-2022-02-01-004233-c</t>
  </si>
  <si>
    <t>UA-2022-02-01-004237-b</t>
  </si>
  <si>
    <t>UA-2022-02-01-004248-b</t>
  </si>
  <si>
    <t>UA-2022-02-01-004250-c</t>
  </si>
  <si>
    <t>UA-2022-02-01-004257-b</t>
  </si>
  <si>
    <t>UA-2022-02-01-004258-b</t>
  </si>
  <si>
    <t>UA-2022-02-01-004265-b</t>
  </si>
  <si>
    <t>UA-2022-02-01-004271-b</t>
  </si>
  <si>
    <t>UA-2022-02-01-004272-b</t>
  </si>
  <si>
    <t>UA-2022-02-01-004274-c</t>
  </si>
  <si>
    <t>UA-2022-02-01-004275-c</t>
  </si>
  <si>
    <t>UA-2022-02-01-004285-c</t>
  </si>
  <si>
    <t>UA-2022-02-01-004288-c</t>
  </si>
  <si>
    <t>UA-2022-02-01-004294-c</t>
  </si>
  <si>
    <t>UA-2022-02-01-004298-b</t>
  </si>
  <si>
    <t>UA-2022-02-01-004300-b</t>
  </si>
  <si>
    <t>UA-2022-02-01-004303-c</t>
  </si>
  <si>
    <t>UA-2022-02-01-004306-c</t>
  </si>
  <si>
    <t>UA-2022-02-01-004307-b</t>
  </si>
  <si>
    <t>UA-2022-02-01-004308-b</t>
  </si>
  <si>
    <t>UA-2022-02-01-004309-c</t>
  </si>
  <si>
    <t>UA-2022-02-01-004310-c</t>
  </si>
  <si>
    <t>UA-2022-02-01-004332-c</t>
  </si>
  <si>
    <t>UA-2022-02-01-004337-b</t>
  </si>
  <si>
    <t>UA-2022-02-01-004338-b</t>
  </si>
  <si>
    <t>UA-2022-02-01-004340-b</t>
  </si>
  <si>
    <t>UA-2022-02-01-004344-c</t>
  </si>
  <si>
    <t>UA-2022-02-01-004374-b</t>
  </si>
  <si>
    <t>UA-2022-02-01-004380-b</t>
  </si>
  <si>
    <t>UA-2022-02-01-004388-b</t>
  </si>
  <si>
    <t>UA-2022-02-01-004394-b</t>
  </si>
  <si>
    <t>UA-2022-02-01-004420-b</t>
  </si>
  <si>
    <t>UA-2022-02-01-004439-b</t>
  </si>
  <si>
    <t>UA-2022-02-01-004482-b</t>
  </si>
  <si>
    <t>UA-2022-02-01-004486-b</t>
  </si>
  <si>
    <t>UA-2022-02-01-004520-b</t>
  </si>
  <si>
    <t>UA-2022-02-01-004530-b</t>
  </si>
  <si>
    <t>UA-2022-02-01-004531-b</t>
  </si>
  <si>
    <t>UA-2022-02-01-004535-b</t>
  </si>
  <si>
    <t>UA-2022-02-01-004539-b</t>
  </si>
  <si>
    <t>UA-2022-02-01-004540-b</t>
  </si>
  <si>
    <t>UA-2022-02-01-004586-b</t>
  </si>
  <si>
    <t>UA-2022-02-01-004592-b</t>
  </si>
  <si>
    <t>UA-2022-02-01-004595-b</t>
  </si>
  <si>
    <t>UA-2022-02-01-004609-b</t>
  </si>
  <si>
    <t>UA-2022-02-01-004615-b</t>
  </si>
  <si>
    <t>UA-2022-02-01-004617-b</t>
  </si>
  <si>
    <t>UA-2022-02-01-004620-b</t>
  </si>
  <si>
    <t>UA-2022-02-01-004621-b</t>
  </si>
  <si>
    <t>UA-2022-02-01-004635-b</t>
  </si>
  <si>
    <t>UA-2022-02-01-004642-b</t>
  </si>
  <si>
    <t>UA-2022-02-01-004643-b</t>
  </si>
  <si>
    <t>UA-2022-02-01-004658-b</t>
  </si>
  <si>
    <t>UA-2022-02-01-004670-b</t>
  </si>
  <si>
    <t>UA-2022-02-01-004689-b</t>
  </si>
  <si>
    <t>UA-2022-02-01-004695-b</t>
  </si>
  <si>
    <t>UA-2022-02-01-004697-b</t>
  </si>
  <si>
    <t>UA-2022-02-01-004704-b</t>
  </si>
  <si>
    <t>UA-2022-02-01-004723-b</t>
  </si>
  <si>
    <t>UA-2022-02-01-004729-b</t>
  </si>
  <si>
    <t>UA-2022-02-01-004739-b</t>
  </si>
  <si>
    <t>UA-2022-02-01-004754-b</t>
  </si>
  <si>
    <t>UA-2022-02-01-004776-b</t>
  </si>
  <si>
    <t>UA-2022-02-01-004779-b</t>
  </si>
  <si>
    <t>UA-2022-02-01-004787-b</t>
  </si>
  <si>
    <t>UA-2022-02-01-004795-b</t>
  </si>
  <si>
    <t>UA-2022-02-01-004801-b</t>
  </si>
  <si>
    <t>UA-2022-02-01-004808-b</t>
  </si>
  <si>
    <t>UA-2022-02-01-004851-b</t>
  </si>
  <si>
    <t>UA-2022-02-01-004860-b</t>
  </si>
  <si>
    <t>UA-2022-02-01-004868-b</t>
  </si>
  <si>
    <t>UA-2022-02-01-004877-b</t>
  </si>
  <si>
    <t>UA-2022-02-01-004905-b</t>
  </si>
  <si>
    <t>UA-2022-02-01-004907-b</t>
  </si>
  <si>
    <t>UA-2022-02-01-004916-b</t>
  </si>
  <si>
    <t>UA-2022-02-01-004919-b</t>
  </si>
  <si>
    <t>UA-2022-02-01-004923-b</t>
  </si>
  <si>
    <t>UA-2022-02-01-004939-b</t>
  </si>
  <si>
    <t>UA-2022-02-01-004942-b</t>
  </si>
  <si>
    <t>UA-2022-02-01-004943-b</t>
  </si>
  <si>
    <t>UA-2022-02-01-004945-b</t>
  </si>
  <si>
    <t>UA-2022-02-01-004946-b</t>
  </si>
  <si>
    <t>UA-2022-02-01-004957-b</t>
  </si>
  <si>
    <t>UA-2022-02-01-004970-b</t>
  </si>
  <si>
    <t>UA-2022-02-01-005008-b</t>
  </si>
  <si>
    <t>UA-2022-02-01-005015-b</t>
  </si>
  <si>
    <t>UA-2022-02-01-005038-b</t>
  </si>
  <si>
    <t>UA-2022-02-01-005043-b</t>
  </si>
  <si>
    <t>UA-2022-02-01-005066-b</t>
  </si>
  <si>
    <t>UA-2022-02-01-005078-b</t>
  </si>
  <si>
    <t>UA-2022-02-01-005080-b</t>
  </si>
  <si>
    <t>UA-2022-02-01-005084-b</t>
  </si>
  <si>
    <t>UA-2022-02-01-005100-b</t>
  </si>
  <si>
    <t>UA-2022-02-01-005128-b</t>
  </si>
  <si>
    <t>UA-2022-02-01-005131-b</t>
  </si>
  <si>
    <t>UA-2022-02-01-005132-b</t>
  </si>
  <si>
    <t>UA-2022-02-01-005140-b</t>
  </si>
  <si>
    <t>UA-2022-02-01-005152-b</t>
  </si>
  <si>
    <t>UA-2022-02-01-005183-b</t>
  </si>
  <si>
    <t>UA-2022-02-01-005201-b</t>
  </si>
  <si>
    <t>UA-2022-02-01-005210-b</t>
  </si>
  <si>
    <t>UA-2022-02-01-005223-b</t>
  </si>
  <si>
    <t>UA-2022-02-01-005257-b</t>
  </si>
  <si>
    <t>UA-2022-02-01-005262-b</t>
  </si>
  <si>
    <t>UA-2022-02-01-005280-b</t>
  </si>
  <si>
    <t>UA-2022-02-01-005294-b</t>
  </si>
  <si>
    <t>UA-2022-02-01-005345-b</t>
  </si>
  <si>
    <t>UA-2022-02-01-005354-b</t>
  </si>
  <si>
    <t>UA-2022-02-01-005369-b</t>
  </si>
  <si>
    <t>UA-2022-02-01-005371-b</t>
  </si>
  <si>
    <t>UA-2022-02-01-005408-b</t>
  </si>
  <si>
    <t>UA-2022-02-01-005422-b</t>
  </si>
  <si>
    <t>UA-2022-02-01-005446-b</t>
  </si>
  <si>
    <t>UA-2022-02-01-005455-b</t>
  </si>
  <si>
    <t>UA-2022-02-01-005459-b</t>
  </si>
  <si>
    <t>UA-2022-02-01-005461-b</t>
  </si>
  <si>
    <t>UA-2022-02-01-005465-b</t>
  </si>
  <si>
    <t>UA-2022-02-01-005467-b</t>
  </si>
  <si>
    <t>UA-2022-02-01-005475-b</t>
  </si>
  <si>
    <t>UA-2022-02-01-005496-b</t>
  </si>
  <si>
    <t>UA-2022-02-01-005500-b</t>
  </si>
  <si>
    <t>UA-2022-02-01-005515-b</t>
  </si>
  <si>
    <t>UA-2022-02-01-005530-b</t>
  </si>
  <si>
    <t>UA-2022-02-01-005548-b</t>
  </si>
  <si>
    <t>UA-2022-02-01-005550-b</t>
  </si>
  <si>
    <t>UA-2022-02-01-005562-b</t>
  </si>
  <si>
    <t>UA-2022-02-01-005576-b</t>
  </si>
  <si>
    <t>UA-2022-02-01-005578-b</t>
  </si>
  <si>
    <t>UA-2022-02-01-005591-b</t>
  </si>
  <si>
    <t>UA-2022-02-01-005606-b</t>
  </si>
  <si>
    <t>UA-2022-02-01-005613-b</t>
  </si>
  <si>
    <t>UA-2022-02-01-005628-b</t>
  </si>
  <si>
    <t>UA-2022-02-01-005633-b</t>
  </si>
  <si>
    <t>UA-2022-02-01-005635-b</t>
  </si>
  <si>
    <t>UA-2022-02-01-005647-b</t>
  </si>
  <si>
    <t>UA-2022-02-01-005654-b</t>
  </si>
  <si>
    <t>UA-2022-02-01-005665-b</t>
  </si>
  <si>
    <t>UA-2022-02-01-005672-b</t>
  </si>
  <si>
    <t>UA-2022-02-01-005673-b</t>
  </si>
  <si>
    <t>UA-2022-02-01-005674-b</t>
  </si>
  <si>
    <t>UA-2022-02-01-005688-b</t>
  </si>
  <si>
    <t>UA-2022-02-01-005699-b</t>
  </si>
  <si>
    <t>UA-2022-02-01-005703-b</t>
  </si>
  <si>
    <t>UA-2022-02-01-005715-b</t>
  </si>
  <si>
    <t>UA-2022-02-01-005723-b</t>
  </si>
  <si>
    <t>UA-2022-02-01-005745-b</t>
  </si>
  <si>
    <t>UA-2022-02-01-005761-b</t>
  </si>
  <si>
    <t>UA-2022-02-01-005775-b</t>
  </si>
  <si>
    <t>UA-2022-02-01-005776-b</t>
  </si>
  <si>
    <t>UA-2022-02-01-005780-b</t>
  </si>
  <si>
    <t>UA-2022-02-01-005781-b</t>
  </si>
  <si>
    <t>UA-2022-02-01-005791-b</t>
  </si>
  <si>
    <t>UA-2022-02-01-005807-b</t>
  </si>
  <si>
    <t>UA-2022-02-01-005808-b</t>
  </si>
  <si>
    <t>UA-2022-02-01-005814-b</t>
  </si>
  <si>
    <t>UA-2022-02-01-005830-b</t>
  </si>
  <si>
    <t>UA-2022-02-01-005847-b</t>
  </si>
  <si>
    <t>UA-2022-02-01-005848-b</t>
  </si>
  <si>
    <t>UA-2022-02-01-005851-b</t>
  </si>
  <si>
    <t>UA-2022-02-01-005859-b</t>
  </si>
  <si>
    <t>UA-2022-02-01-005865-b</t>
  </si>
  <si>
    <t>UA-2022-02-01-005869-b</t>
  </si>
  <si>
    <t>UA-2022-02-01-005873-b</t>
  </si>
  <si>
    <t>UA-2022-02-01-005884-b</t>
  </si>
  <si>
    <t>UA-2022-02-01-005888-b</t>
  </si>
  <si>
    <t>UA-2022-02-01-005903-b</t>
  </si>
  <si>
    <t>UA-2022-02-01-005908-b</t>
  </si>
  <si>
    <t>UA-2022-02-01-005916-b</t>
  </si>
  <si>
    <t>UA-2022-02-01-005924-b</t>
  </si>
  <si>
    <t>UA-2022-02-01-005931-b</t>
  </si>
  <si>
    <t>UA-2022-02-01-005935-b</t>
  </si>
  <si>
    <t>UA-2022-02-01-005944-b</t>
  </si>
  <si>
    <t>UA-2022-02-01-005953-b</t>
  </si>
  <si>
    <t>UA-2022-02-01-005972-b</t>
  </si>
  <si>
    <t>UA-2022-02-01-005973-b</t>
  </si>
  <si>
    <t>UA-2022-02-01-005977-b</t>
  </si>
  <si>
    <t>UA-2022-02-01-005991-b</t>
  </si>
  <si>
    <t>UA-2022-02-01-005993-b</t>
  </si>
  <si>
    <t>UA-2022-02-01-006008-b</t>
  </si>
  <si>
    <t>UA-2022-02-01-006014-b</t>
  </si>
  <si>
    <t>UA-2022-02-01-006022-b</t>
  </si>
  <si>
    <t>UA-2022-02-01-006023-b</t>
  </si>
  <si>
    <t>UA-2022-02-01-006028-b</t>
  </si>
  <si>
    <t>UA-2022-02-01-006032-b</t>
  </si>
  <si>
    <t>UA-2022-02-01-006035-b</t>
  </si>
  <si>
    <t>UA-2022-02-01-006055-b</t>
  </si>
  <si>
    <t>UA-2022-02-01-006063-b</t>
  </si>
  <si>
    <t>UA-2022-02-01-006072-b</t>
  </si>
  <si>
    <t>UA-2022-02-01-006076-b</t>
  </si>
  <si>
    <t>UA-2022-02-01-006086-b</t>
  </si>
  <si>
    <t>UA-2022-02-01-006091-b</t>
  </si>
  <si>
    <t>UA-2022-02-01-006103-b</t>
  </si>
  <si>
    <t>UA-2022-02-01-006121-b</t>
  </si>
  <si>
    <t>UA-2022-02-01-006128-b</t>
  </si>
  <si>
    <t>UA-2022-02-01-006144-b</t>
  </si>
  <si>
    <t>UA-2022-02-01-006163-b</t>
  </si>
  <si>
    <t>UA-2022-02-01-006174-b</t>
  </si>
  <si>
    <t>UA-2022-02-01-006177-b</t>
  </si>
  <si>
    <t>UA-2022-02-01-006180-b</t>
  </si>
  <si>
    <t>UA-2022-02-01-006182-b</t>
  </si>
  <si>
    <t>UA-2022-02-01-006198-b</t>
  </si>
  <si>
    <t>UA-2022-02-01-006202-b</t>
  </si>
  <si>
    <t>UA-2022-02-01-006224-b</t>
  </si>
  <si>
    <t>UA-2022-02-01-006230-b</t>
  </si>
  <si>
    <t>UA-2022-02-01-006231-b</t>
  </si>
  <si>
    <t>UA-2022-02-01-006234-b</t>
  </si>
  <si>
    <t>UA-2022-02-01-006237-b</t>
  </si>
  <si>
    <t>UA-2022-02-01-006255-b</t>
  </si>
  <si>
    <t>UA-2022-02-01-006275-b</t>
  </si>
  <si>
    <t>UA-2022-02-01-006299-b</t>
  </si>
  <si>
    <t>UA-2022-02-01-006317-b</t>
  </si>
  <si>
    <t>UA-2022-02-01-006342-b</t>
  </si>
  <si>
    <t>UA-2022-02-01-006346-b</t>
  </si>
  <si>
    <t>UA-2022-02-01-006347-b</t>
  </si>
  <si>
    <t>UA-2022-02-01-006350-b</t>
  </si>
  <si>
    <t>UA-2022-02-01-006372-b</t>
  </si>
  <si>
    <t>UA-2022-02-01-006373-b</t>
  </si>
  <si>
    <t>UA-2022-02-01-006376-b</t>
  </si>
  <si>
    <t>UA-2022-02-01-006384-b</t>
  </si>
  <si>
    <t>UA-2022-02-01-006388-b</t>
  </si>
  <si>
    <t>UA-2022-02-01-006394-b</t>
  </si>
  <si>
    <t>UA-2022-02-01-006415-b</t>
  </si>
  <si>
    <t>UA-2022-02-01-006423-b</t>
  </si>
  <si>
    <t>UA-2022-02-01-006433-b</t>
  </si>
  <si>
    <t>UA-2022-02-01-006434-b</t>
  </si>
  <si>
    <t>UA-2022-02-01-006439-b</t>
  </si>
  <si>
    <t>UA-2022-02-01-006450-b</t>
  </si>
  <si>
    <t>UA-2022-02-01-006455-b</t>
  </si>
  <si>
    <t>UA-2022-02-01-006461-b</t>
  </si>
  <si>
    <t>UA-2022-02-01-006470-b</t>
  </si>
  <si>
    <t>UA-2022-02-01-006475-b</t>
  </si>
  <si>
    <t>UA-2022-02-01-006477-b</t>
  </si>
  <si>
    <t>UA-2022-02-01-006478-b</t>
  </si>
  <si>
    <t>UA-2022-02-01-006514-b</t>
  </si>
  <si>
    <t>UA-2022-02-01-006525-b</t>
  </si>
  <si>
    <t>UA-2022-02-01-006533-b</t>
  </si>
  <si>
    <t>UA-2022-02-01-006539-b</t>
  </si>
  <si>
    <t>UA-2022-02-01-006564-b</t>
  </si>
  <si>
    <t>UA-2022-02-01-006565-b</t>
  </si>
  <si>
    <t>UA-2022-02-01-006579-b</t>
  </si>
  <si>
    <t>UA-2022-02-01-006585-b</t>
  </si>
  <si>
    <t>UA-2022-02-01-006596-b</t>
  </si>
  <si>
    <t>UA-2022-02-01-006597-b</t>
  </si>
  <si>
    <t>UA-2022-02-01-006601-b</t>
  </si>
  <si>
    <t>UA-2022-02-01-006648-b</t>
  </si>
  <si>
    <t>UA-2022-02-01-006651-b</t>
  </si>
  <si>
    <t>UA-2022-02-01-006696-b</t>
  </si>
  <si>
    <t>UA-2022-02-01-006701-b</t>
  </si>
  <si>
    <t>UA-2022-02-01-006704-b</t>
  </si>
  <si>
    <t>UA-2022-02-01-006722-b</t>
  </si>
  <si>
    <t>UA-2022-02-01-006751-b</t>
  </si>
  <si>
    <t>UA-2022-02-01-006753-b</t>
  </si>
  <si>
    <t>UA-2022-02-01-006757-b</t>
  </si>
  <si>
    <t>UA-2022-02-01-006760-b</t>
  </si>
  <si>
    <t>UA-2022-02-01-006776-b</t>
  </si>
  <si>
    <t>UA-2022-02-01-006791-b</t>
  </si>
  <si>
    <t>UA-2022-02-01-006808-b</t>
  </si>
  <si>
    <t>UA-2022-02-01-006842-b</t>
  </si>
  <si>
    <t>UA-2022-02-01-006885-b</t>
  </si>
  <si>
    <t>UA-2022-02-01-006899-b</t>
  </si>
  <si>
    <t>UA-2022-02-01-006904-b</t>
  </si>
  <si>
    <t>UA-2022-02-01-006912-b</t>
  </si>
  <si>
    <t>UA-2022-02-01-006923-b</t>
  </si>
  <si>
    <t>UA-2022-02-01-006929-b</t>
  </si>
  <si>
    <t>UA-2022-02-01-006943-b</t>
  </si>
  <si>
    <t>UA-2022-02-01-006967-b</t>
  </si>
  <si>
    <t>UA-2022-02-01-006981-b</t>
  </si>
  <si>
    <t>UA-2022-02-01-006987-b</t>
  </si>
  <si>
    <t>UA-2022-02-01-006988-b</t>
  </si>
  <si>
    <t>UA-2022-02-01-007007-b</t>
  </si>
  <si>
    <t>UA-2022-02-01-007016-b</t>
  </si>
  <si>
    <t>UA-2022-02-01-007026-b</t>
  </si>
  <si>
    <t>UA-2022-02-01-007038-b</t>
  </si>
  <si>
    <t>UA-2022-02-01-007059-b</t>
  </si>
  <si>
    <t>UA-2022-02-01-007072-b</t>
  </si>
  <si>
    <t>UA-2022-02-01-007110-b</t>
  </si>
  <si>
    <t>UA-2022-02-01-007111-b</t>
  </si>
  <si>
    <t>UA-2022-02-01-007113-b</t>
  </si>
  <si>
    <t>UA-2022-02-01-007134-b</t>
  </si>
  <si>
    <t>UA-2022-02-01-007145-b</t>
  </si>
  <si>
    <t>UA-2022-02-01-007149-b</t>
  </si>
  <si>
    <t>UA-2022-02-01-007150-b</t>
  </si>
  <si>
    <t>UA-2022-02-01-007163-b</t>
  </si>
  <si>
    <t>UA-2022-02-01-007173-b</t>
  </si>
  <si>
    <t>UA-2022-02-01-007180-b</t>
  </si>
  <si>
    <t>UA-2022-02-01-007202-b</t>
  </si>
  <si>
    <t>UA-2022-02-01-007203-b</t>
  </si>
  <si>
    <t>UA-2022-02-01-007207-b</t>
  </si>
  <si>
    <t>UA-2022-02-01-007217-b</t>
  </si>
  <si>
    <t>UA-2022-02-01-007224-b</t>
  </si>
  <si>
    <t>UA-2022-02-01-007245-b</t>
  </si>
  <si>
    <t>UA-2022-02-01-007250-b</t>
  </si>
  <si>
    <t>UA-2022-02-01-007258-b</t>
  </si>
  <si>
    <t>UA-2022-02-01-007266-b</t>
  </si>
  <si>
    <t>UA-2022-02-01-007268-b</t>
  </si>
  <si>
    <t>UA-2022-02-01-007269-b</t>
  </si>
  <si>
    <t>UA-2022-02-01-007273-b</t>
  </si>
  <si>
    <t>UA-2022-02-01-007283-b</t>
  </si>
  <si>
    <t>UA-2022-02-01-007286-b</t>
  </si>
  <si>
    <t>UA-2022-02-01-007288-b</t>
  </si>
  <si>
    <t>UA-2022-02-01-007289-b</t>
  </si>
  <si>
    <t>UA-2022-02-01-007312-b</t>
  </si>
  <si>
    <t>UA-2022-02-01-007315-b</t>
  </si>
  <si>
    <t>UA-2022-02-01-007323-b</t>
  </si>
  <si>
    <t>UA-2022-02-01-007334-b</t>
  </si>
  <si>
    <t>UA-2022-02-01-007340-b</t>
  </si>
  <si>
    <t>UA-2022-02-01-007351-b</t>
  </si>
  <si>
    <t>UA-2022-02-01-007366-b</t>
  </si>
  <si>
    <t>UA-2022-02-01-007371-b</t>
  </si>
  <si>
    <t>UA-2022-02-01-007382-b</t>
  </si>
  <si>
    <t>UA-2022-02-01-007384-b</t>
  </si>
  <si>
    <t>UA-2022-02-01-007385-b</t>
  </si>
  <si>
    <t>UA-2022-02-01-007401-b</t>
  </si>
  <si>
    <t>UA-2022-02-01-007420-b</t>
  </si>
  <si>
    <t>UA-2022-02-01-007445-b</t>
  </si>
  <si>
    <t>UA-2022-02-01-007457-b</t>
  </si>
  <si>
    <t>UA-2022-02-01-007467-b</t>
  </si>
  <si>
    <t>UA-2022-02-01-007478-b</t>
  </si>
  <si>
    <t>UA-2022-02-01-007492-b</t>
  </si>
  <si>
    <t>UA-2022-02-01-007494-b</t>
  </si>
  <si>
    <t>UA-2022-02-01-007507-b</t>
  </si>
  <si>
    <t>UA-2022-02-01-007512-b</t>
  </si>
  <si>
    <t>UA-2022-02-01-007517-b</t>
  </si>
  <si>
    <t>UA-2022-02-01-007522-b</t>
  </si>
  <si>
    <t>UA-2022-02-01-007533-b</t>
  </si>
  <si>
    <t>UA-2022-02-01-007539-b</t>
  </si>
  <si>
    <t>UA-2022-02-01-007553-b</t>
  </si>
  <si>
    <t>UA-2022-02-01-007596-b</t>
  </si>
  <si>
    <t>UA-2022-02-01-007601-b</t>
  </si>
  <si>
    <t>UA-2022-02-01-007603-b</t>
  </si>
  <si>
    <t>UA-2022-02-01-007605-b</t>
  </si>
  <si>
    <t>UA-2022-02-01-007615-b</t>
  </si>
  <si>
    <t>UA-2022-02-01-007623-b</t>
  </si>
  <si>
    <t>UA-2022-02-01-007634-b</t>
  </si>
  <si>
    <t>UA-2022-02-01-007645-b</t>
  </si>
  <si>
    <t>UA-2022-02-01-007648-b</t>
  </si>
  <si>
    <t>UA-2022-02-01-007663-b</t>
  </si>
  <si>
    <t>UA-2022-02-01-007683-b</t>
  </si>
  <si>
    <t>UA-2022-02-01-007706-b</t>
  </si>
  <si>
    <t>UA-2022-02-01-007749-b</t>
  </si>
  <si>
    <t>UA-2022-02-01-007781-b</t>
  </si>
  <si>
    <t>UA-2022-02-01-007792-b</t>
  </si>
  <si>
    <t>UA-2022-02-01-007794-b</t>
  </si>
  <si>
    <t>UA-2022-02-01-007830-b</t>
  </si>
  <si>
    <t>UA-2022-02-01-007834-b</t>
  </si>
  <si>
    <t>UA-2022-02-01-007842-b</t>
  </si>
  <si>
    <t>UA-2022-02-01-007879-b</t>
  </si>
  <si>
    <t>UA-2022-02-01-007883-b</t>
  </si>
  <si>
    <t>UA-2022-02-01-007891-b</t>
  </si>
  <si>
    <t>UA-2022-02-01-007893-b</t>
  </si>
  <si>
    <t>UA-2022-02-01-007905-b</t>
  </si>
  <si>
    <t>UA-2022-02-01-007917-b</t>
  </si>
  <si>
    <t>UA-2022-02-01-007921-b</t>
  </si>
  <si>
    <t>UA-2022-02-01-007924-b</t>
  </si>
  <si>
    <t>UA-2022-02-01-007948-b</t>
  </si>
  <si>
    <t>UA-2022-02-01-007955-b</t>
  </si>
  <si>
    <t>UA-2022-02-01-007958-b</t>
  </si>
  <si>
    <t>UA-2022-02-01-007961-b</t>
  </si>
  <si>
    <t>UA-2022-02-01-007973-b</t>
  </si>
  <si>
    <t>UA-2022-02-01-007976-b</t>
  </si>
  <si>
    <t>UA-2022-02-01-007980-b</t>
  </si>
  <si>
    <t>UA-2022-02-01-007992-b</t>
  </si>
  <si>
    <t>UA-2022-02-01-007999-b</t>
  </si>
  <si>
    <t>UA-2022-02-01-008011-b</t>
  </si>
  <si>
    <t>UA-2022-02-01-008020-b</t>
  </si>
  <si>
    <t>UA-2022-02-01-008033-b</t>
  </si>
  <si>
    <t>UA-2022-02-01-008047-b</t>
  </si>
  <si>
    <t>UA-2022-02-01-008052-b</t>
  </si>
  <si>
    <t>UA-2022-02-01-008054-b</t>
  </si>
  <si>
    <t>UA-2022-02-01-008067-b</t>
  </si>
  <si>
    <t>UA-2022-02-01-008076-b</t>
  </si>
  <si>
    <t>UA-2022-02-01-008077-b</t>
  </si>
  <si>
    <t>UA-2022-02-01-008082-b</t>
  </si>
  <si>
    <t>UA-2022-02-01-008092-b</t>
  </si>
  <si>
    <t>UA-2022-02-01-008115-b</t>
  </si>
  <si>
    <t>UA-2022-02-01-008118-b</t>
  </si>
  <si>
    <t>UA-2022-02-01-008167-b</t>
  </si>
  <si>
    <t>UA-2022-02-01-008168-b</t>
  </si>
  <si>
    <t>UA-2022-02-01-008170-b</t>
  </si>
  <si>
    <t>UA-2022-02-01-008176-b</t>
  </si>
  <si>
    <t>UA-2022-02-01-008182-b</t>
  </si>
  <si>
    <t>UA-2022-02-01-008189-b</t>
  </si>
  <si>
    <t>UA-2022-02-01-008214-b</t>
  </si>
  <si>
    <t>UA-2022-02-01-008220-b</t>
  </si>
  <si>
    <t>UA-2022-02-01-008225-b</t>
  </si>
  <si>
    <t>UA-2022-02-01-008231-b</t>
  </si>
  <si>
    <t>UA-2022-02-01-008250-b</t>
  </si>
  <si>
    <t>UA-2022-02-01-008315-b</t>
  </si>
  <si>
    <t>UA-2022-02-01-008351-b</t>
  </si>
  <si>
    <t>UA-2022-02-01-008355-b</t>
  </si>
  <si>
    <t>UA-2022-02-01-008356-b</t>
  </si>
  <si>
    <t>UA-2022-02-01-008371-b</t>
  </si>
  <si>
    <t>UA-2022-02-01-008407-b</t>
  </si>
  <si>
    <t>UA-2022-02-01-008426-b</t>
  </si>
  <si>
    <t>UA-2022-02-01-008435-b</t>
  </si>
  <si>
    <t>UA-2022-02-01-008445-b</t>
  </si>
  <si>
    <t>UA-2022-02-01-008448-b</t>
  </si>
  <si>
    <t>UA-2022-02-01-008451-b</t>
  </si>
  <si>
    <t>UA-2022-02-01-008454-b</t>
  </si>
  <si>
    <t>UA-2022-02-01-008463-b</t>
  </si>
  <si>
    <t>UA-2022-02-01-008487-b</t>
  </si>
  <si>
    <t>UA-2022-02-01-008525-b</t>
  </si>
  <si>
    <t>UA-2022-02-01-008553-b</t>
  </si>
  <si>
    <t>UA-2022-02-01-008581-b</t>
  </si>
  <si>
    <t>UA-2022-02-01-008591-b</t>
  </si>
  <si>
    <t>UAH</t>
  </si>
  <si>
    <t>report.zakupki@prom.ua</t>
  </si>
  <si>
    <t>«Бензин А-95»</t>
  </si>
  <si>
    <t>«Будівництво КЗ СОР "Сумська обласна клінічна лікарня" за адресою: м. Суми, вул. Ковпака, 18», ІІІ черга будівництва (ДК 021:2015: 45000000-7 - Будівельні роботи та поточний-ремонт)</t>
  </si>
  <si>
    <t>«Будівництво розвантажувального КТП-6/0,4 кВ з заміною проводу АС на СІП існуючих ПЛ-0,4 кВ від КТП-861 РБ-5, РБ-13 по вул. Спортивна та вул. Вишнева м. Кривий Ріг» 
(пункт № І.1.2.1 Інвестиційної програми ПрАТ «ПЕЕМ «ЦЕК» на 2022 рік)</t>
  </si>
  <si>
    <t xml:space="preserve">«Вугілля кам'яне» </t>
  </si>
  <si>
    <t>«ДК 021:2015 – «15420000-8 Рафіновані олії та жири»  - (Олія соняшникова рафінова)»</t>
  </si>
  <si>
    <t>«Дизельне паливо»</t>
  </si>
  <si>
    <t>«Код згідно ДК 021:2015 – 15540000-5 Сирні продукти (Сир твердий, сир кисломолочний)».</t>
  </si>
  <si>
    <t>«Овочі, фрукти та горіхи» згідно коду ДК 021:2015:03220000-9: Овочі, фрукти та горіхи</t>
  </si>
  <si>
    <t>«Послуги з ремонту покрівлі підстанції РП-10 позаміського дитячого закладу оздоровлення та відпочинку  "Чайка" Хмельницької міської ради, за адресою Хмельницька облась, Хмельницький район, с.Головчинці,  вул.Підлісна, 4/1» (код ДК 021:2015 код 45450000-6 Інші завершальні будівельні роботи»)</t>
  </si>
  <si>
    <t>«Послуги постійного доступу до мережі Інтернет по виділеному цифровому зв’язку зі швидкістю на порту 100(сто) Мбіт/с, без обмеження трафіку в навчальних закладах Ічнянської міської ради</t>
  </si>
  <si>
    <t xml:space="preserve">«Системи та пристрої нагляду та охорони»  (код 35120000-1 за ДК 021:2015)  (Металошукачі)  </t>
  </si>
  <si>
    <t>«Філе куряче охолоджене (код ДК 021:2015:15112130-6 Курятина); чверть куряча охолоджена (код ДК 021:2015:15112130-6 Курятина)», код ДК 021:2015:15110000-2 М’ясо.</t>
  </si>
  <si>
    <t>ЄДРПОУ замовника</t>
  </si>
  <si>
    <t>ЄЗС ДК (021:2015) – 85140000-2 Послуги у сфері охорони здоров’я різні (Послуги догляду і підтримки людей, які живуть з ВІЛ у Київській області).</t>
  </si>
  <si>
    <t>ЄЗС ДК (021:2015) – 85140000-2 Послуги у сфері охорони здоров’я різні (Послуги догляду і підтримки людей, які живуть з ВІЛ у Львівській області).</t>
  </si>
  <si>
    <t>ЄЗС ДК (021:2015) – 85140000-2 Послуги у сфері охорони здоров’я різні (Послуги догляду і підтримки людей, які живуть з ВІЛ у Рівненській області).</t>
  </si>
  <si>
    <t>ЄЗС ДК (021:2015) – 85140000-2 Послуги у сфері охорони здоров’я різні (Послуги догляду і підтримки людей, які живуть з ВІЛ у Черкаській області).</t>
  </si>
  <si>
    <t>ЄЗС ДК (021:2015) – 85140000-2 Послуги у сфері охорони здоров’я різні (Послуги догляду і підтримки людей, які живуть з ВІЛ у Чернівецькій області).</t>
  </si>
  <si>
    <t>ЄЗС ДК (021:2015) – 85140000-2 Послуги у сфері охорони здоров’я різні (Послуги догляду і підтримки людей, які живуть з ВІЛ у Чернігівській області).</t>
  </si>
  <si>
    <t>ЄЗС ДК (021:2015) – 85140000-2 Послуги у сфері охорони здоров’я різні (Послуги догляду і підтримки людей, які живуть з ВІЛ у м. Київ).</t>
  </si>
  <si>
    <t>ЄЗС ДК 021:2015-90510000-5 «Утилізація/ видалення сміття та поводження зі сміттям»  (Послуги з вивезення побутових відходів ТПВ (твердих побутових відходів</t>
  </si>
  <si>
    <t>Єдининй закупівельний словник ДК 021:2015: 30190000-7Офісне устаткування та приладдя різне(Печатка відділу загальної та організаційної роботи апарату Бершадської міської ради, номерні печатки Бершадської міської ради )</t>
  </si>
  <si>
    <t>Єлизаветградківський психоневрологічний інтернат</t>
  </si>
  <si>
    <t>ІНСТИТУТ ДЕМОГРАФІЇ ТА СОЦІАЛЬНИХ ДОСЛІДЖЕНЬ ІМЕНІ М.В. ПТУХИ НАЦІОНАЛЬНОЇ АКАДЕМІЇ НАУК УКРАЇНИ ( ІДСД НАН УКРАЇНИ )</t>
  </si>
  <si>
    <t>Івано-Франківська область</t>
  </si>
  <si>
    <t>Інженерні та будівельні роботи (будівництво медичної кисневої станції КНП "Волноваська ЦРЛ" за адресою: пров. Матросова, 5, м. Волноваха, Донецька обл., 85700)</t>
  </si>
  <si>
    <t>Інструменти</t>
  </si>
  <si>
    <t>Інформаційно-косультативні послуги по супроводженню комп’ютерної програми «M.E.Doc» модуль «Звітність (повна)» (мережева версія, повний комплект бланків з можливістю друку та експорту) з правом використання на рік.</t>
  </si>
  <si>
    <t>Іршавська міська рада Закарпатської області</t>
  </si>
  <si>
    <t>АВТОМОБІЛЬНІ ШИНИ (ДК 021:2015 – 34350000-5 ШИНИ ДЛЯ ТРАНСПОРТНИХ ЗАСОБІВ ВЕЛИКОЇ ТА МАЛОЇ ТОННАЖНОСТІ)</t>
  </si>
  <si>
    <t>АКЦІОНЕРНЕ ТОВАРИСТВО "ВІННИЦЯОБЛЕНЕРГО"</t>
  </si>
  <si>
    <t>АКЦІОНЕРНЕ ТОВАРИСТВО "ОПЕРАТОР ГАЗОРОЗПОДІЛЬНОЇ СИСТЕМИ "ВОЛИНЬГАЗ"</t>
  </si>
  <si>
    <t>АКЦІОНЕРНЕ ТОВАРИСТВО "ОПЕРАТОР ГАЗОРОЗПОДІЛЬНОЇ СИСТЕМИ "ДНІПРОПЕТРОВСЬКГАЗ"</t>
  </si>
  <si>
    <t>АКЦІОНЕРНЕ ТОВАРИСТВО "ОПЕРАТОР ГАЗОРОЗПОДІЛЬНОЇ СИСТЕМИ "ЖИТОМИРГАЗ"</t>
  </si>
  <si>
    <t>АКЦІОНЕРНЕ ТОВАРИСТВО "СУМИОБЛЕНЕРГО"</t>
  </si>
  <si>
    <t>АКЦІОНЕРНЕ ТОВАРИСТВО "УКРТРАНСНАФТА"</t>
  </si>
  <si>
    <t>АКЦІОНЕРНЕ ТОВАРИСТВО "ХЕРСОНОБЛЕНЕРГО"</t>
  </si>
  <si>
    <t>АО "АТ "Укргазвидобування" в особі філії "УГВ-Сервіс""</t>
  </si>
  <si>
    <t>АО "Ощадбанк” філія – Волинське обласне управління"</t>
  </si>
  <si>
    <t>АТ Прикарпаттяобленерго</t>
  </si>
  <si>
    <t>АТ Сєвєродонецька теплоелектроцентраль</t>
  </si>
  <si>
    <t>Абразивні вироби</t>
  </si>
  <si>
    <t>Аванс (пiсля виконання робіт), 10 днiв (календарні) - 100.0 %</t>
  </si>
  <si>
    <t>Аванс (пiсля дата виставлення рахунку), 10 днiв (календарні) - 100.0 %</t>
  </si>
  <si>
    <t>Аванс (пiсля дата виставлення рахунку), 10 днiв (робочі) - 50.0 %; Післяоплата (пiсля поставка товару), 10 днiв (робочі) - 50.0 %</t>
  </si>
  <si>
    <t>Аванс (пiсля дата виставлення рахунку), 15 днiв (банківські) - 100.0 %</t>
  </si>
  <si>
    <t>Аванс (пiсля дата виставлення рахунку), 15 днiв (календарні) - 100.0 %</t>
  </si>
  <si>
    <t>Аванс (пiсля дата виставлення рахунку), 3 днiв (банківські) - 100.0 %</t>
  </si>
  <si>
    <t>Аванс (пiсля дата виставлення рахунку), 30 днiв (банківські) - 100.0 %</t>
  </si>
  <si>
    <t>Аванс (пiсля дата виставлення рахунку), 5 днiв (календарні) - 20.0 %; Післяоплата (пiсля поставка товару), 30 днiв (календарні) - 80.0 %</t>
  </si>
  <si>
    <t>Аванс (пiсля дата виставлення рахунку), 7 днiв (банківські) - 100.0 %</t>
  </si>
  <si>
    <t>Аванс (пiсля дата виставлення рахунку), 7 днiв (календарні) - 100.0 %</t>
  </si>
  <si>
    <t>Аванс (пiсля надання послуг), 10 днiв (банківські) - 100.0 %</t>
  </si>
  <si>
    <t>Аванс (пiсля надання послуг), 15 днiв (робочі) - 100.0 %</t>
  </si>
  <si>
    <t>Аванс (пiсля поставка товару), 10 днiв (банківські) - 100.0 %</t>
  </si>
  <si>
    <t>Аванс (пiсля поставка товару), 15 днiв (банківські) - 100.0 %</t>
  </si>
  <si>
    <t>Аванс (пiсля підписання договору), 10 днiв (календарні) - 100.0 %</t>
  </si>
  <si>
    <t>Аванс (пiсля підписання договору), 20 днiв (банківські) - 50.0 %; Післяоплата (пiсля поставка товару), 15 днiв (банківські) - 50.0 %</t>
  </si>
  <si>
    <t>Аванс (пiсля підписання договору), 30 днiв (календарні) - 50.0 %; Післяоплата (пiсля виконання робіт), 30 днiв (календарні) - 50.0 %</t>
  </si>
  <si>
    <t>Аванс (пiсля інша подія), 1 днiв (календарні) - 100.0 %</t>
  </si>
  <si>
    <t xml:space="preserve">Автогрейдер (Код ДК 021:2015: 43220000-1 - Грейдери та планувальники
(43221000-8 Дорожні грейдери)
</t>
  </si>
  <si>
    <t>Автомобіль спеціального призначення обладнаний системою телеінспекції для обстеження трубопроводів</t>
  </si>
  <si>
    <t>Автомобільне пальне</t>
  </si>
  <si>
    <t>Автопідйомник телескопічний   АР-22*на шасі МАЗ-4371* або еквівалент»;</t>
  </si>
  <si>
    <t>Агрохімічна продукція (Дезінфекційні засоби)</t>
  </si>
  <si>
    <t>Адміністрація Шевченківського району Харківської міської ради</t>
  </si>
  <si>
    <t>Аксесуари для одягу  (18424300-0 - Одноразові рукавички)</t>
  </si>
  <si>
    <t>Аксесуари до робочого одягу</t>
  </si>
  <si>
    <t>Активна електрична енергія</t>
  </si>
  <si>
    <t>Активна електроенергія</t>
  </si>
  <si>
    <t>Акціонерне товариство «Оператор газорозподільної системи «Чернігівгаз»</t>
  </si>
  <si>
    <t>Ампельні квіти</t>
  </si>
  <si>
    <t>Ампула</t>
  </si>
  <si>
    <t>Ананас консервований, Персики консервовані, Паста томатна, Кукурудза консервована, Сухофрукти, Повидло ваг., Мармелад, Родзинки, Джем, варення в асортименті типу "Дари ланів"</t>
  </si>
  <si>
    <t>Анатоксин протиправцевий суспензія для ін'єкцій 10 ОЗ/доза.по 1мл (2 дози) в амп.; ІНДІРАБ вакцина антирабічна очищена інактивована Ліофілізований порошок для розчину для ін'єкцій не менше 2,5МО/доза у флаконі та розчинник (0,5 мл) в ампулах №1 (або еквівалент)</t>
  </si>
  <si>
    <t>Анестетичні засоби</t>
  </si>
  <si>
    <t>Апарати для дистилювання, фільтрування чи ректифікації</t>
  </si>
  <si>
    <t>Апельсини, Банани, Лимони, Яблука, Капуста пекінська, горіхи грецькі (лущені), квасоля, Помідори свіжі, Цибуля ріпчаста, буряк столовий, капуста білокачанна, Морква, Мандарини, Ківі, редиска, мак, кунжут, Насіння соняшнику очищене, перець солодкий, виноград, огірки, сливи, груші  свіжі</t>
  </si>
  <si>
    <t>Асканійська державна сільськогосподарська дослідна станція Інституту зрошуваного землеробства Національної академії аграрних наук України</t>
  </si>
  <si>
    <t>БЕРДЯНСЬКА ФІЛІЯ ДЕРЖАВНОГО ПІДПРИЄМСТВА "АДМІНІСТРАЦІЯ МОРСЬКИХ ПОРТІВ УКРАЇНИ" (АДМІНІСТРАЦІЯ БЕРДЯНСЬКОГО МОРСЬКОГО ПОРТУ)</t>
  </si>
  <si>
    <t>БЕРШАДСЬКА МІСЬКА РАДА</t>
  </si>
  <si>
    <t>База спеціального медичного постачання</t>
  </si>
  <si>
    <t>Бактеріологічні та серологічні дослідження забору біологічного матеріалу</t>
  </si>
  <si>
    <t>Баласти для розрядних ламп чи трубок  31150000-2 за ДК 021:2015 (Джерела безперебійного живлення)</t>
  </si>
  <si>
    <t>Батуринська загальноосвітня школа І-ІІІ ступенів імені Григорія Орлика Батуринської міської ради Ніжинського району Чернігівської області</t>
  </si>
  <si>
    <t>Бензин</t>
  </si>
  <si>
    <t>Бензин  А-92, ДП</t>
  </si>
  <si>
    <t>Бензин -А-92,бензин А-95, дизельне паливо, газ пропан-бутан (талони та/або паливні картки)</t>
  </si>
  <si>
    <t>Бензин А - 92</t>
  </si>
  <si>
    <t>Бензин А - 95;  Бензин А - 95 + та Дизельне паливо.</t>
  </si>
  <si>
    <t>Бензин А-92</t>
  </si>
  <si>
    <t>Бензин А-92 (в талонах)</t>
  </si>
  <si>
    <t>Бензин А-92, Дизельне паливо</t>
  </si>
  <si>
    <t>Бензин А-95</t>
  </si>
  <si>
    <t>Бензин А-95 (Євро), бензин А-92 (Євро), дизельне паливо (Євро) (по талонах, бланках-дозволах, скретч-картках, смарт-картках тощо) (ДК 021:2015: 09130000-9 Нафта і дистиляти):Бензин А-95 (Євро), бензин А-92 (Євро), дизельне паливо (Євро)</t>
  </si>
  <si>
    <t>Бензин А-95 (талони)</t>
  </si>
  <si>
    <t>Бензин А-95, А-92, талони</t>
  </si>
  <si>
    <t>Бензин А-95, дизельне паливо</t>
  </si>
  <si>
    <t>Бензин А-95, дизельне паливо, нафтовий газ скраплений</t>
  </si>
  <si>
    <t>Бензин А92, бензин А95, дизпаливо (талони)</t>
  </si>
  <si>
    <t>Бензин А–92 (у талонах), дизельне паливо (у талонах)</t>
  </si>
  <si>
    <t>Бензин марки А-92</t>
  </si>
  <si>
    <t>Бензин марки А-95 (талонами або скретч-картками) номіналом 5, 10 та 20 літрів ДК 021:2015 – 09132000-9 «Бензин»</t>
  </si>
  <si>
    <t>Бензин та дизпаливо</t>
  </si>
  <si>
    <t>Березівська спеціальна школа Житомирської обласної ради</t>
  </si>
  <si>
    <t>Беру участь</t>
  </si>
  <si>
    <t>Бетонні вироби (Код - 44110000-4 Національного класифікатора України ДК 021:2015 “Єдиний закупівельний словник” - Конструкційні матеріали)</t>
  </si>
  <si>
    <t xml:space="preserve">Благоустрій, утримання доріг та тротуарів,очищення урн, прибирання від сміття автобусних зупинок, очищення асфальтобетонних покриттів (тротуарів),прибирання сміття в смузі відводу, на схилах і  розділювальній смузі та узбіч,підстригання живих огорож,викошування газонів моторною косаркою, cколювання льоду, очищення  від снігу та посипання дорожнього покриття протиожеледними матеріалами (тротуарів, зупинок та перехо-дів), очищення проїзної частини від нанесеного ґрунту біля бордюрів вручну в  м.Добропілля, с.Ганнівка, смт. Святогорівка
</t>
  </si>
  <si>
    <t>Блок підсилювачів БУ виробу СПУ-9</t>
  </si>
  <si>
    <t>Борошно пшеничне цільнозернове, борошно нутове,борошно кукурудзяне, борошно рисове, крупа кус-кус, вівсяні пластівці, крупа булгур, крупа пшоно, крупа гречана, крупа перлова, крупа ячна, рис цільнозерновий, крупа пшенична, крупа кукурудзяна, рисова січка крупа, крупа арнаутка</t>
  </si>
  <si>
    <t>Борошно, крупи</t>
  </si>
  <si>
    <t>Брезент</t>
  </si>
  <si>
    <t>Буряк першого сорту; морква першого сорту; цибуля першого сорту; капуста білоголова першого сорту, (код номенклатурної позиції за ДК 021:2015 03221111-7 «Буряк», ДК 021:2015 03221112-4 «Морква», ДК 021:2015 03221113-1 «Цибуля», ДК 021:2015 03221410-3 «Капуста качанна»).</t>
  </si>
  <si>
    <t>Білгород-Дністровська філія Державного підпириємства "Адміністрація морських портів України" (Адміністрація Білгород-Дністровського морського порту)</t>
  </si>
  <si>
    <t>Білокоровицька сільська рада</t>
  </si>
  <si>
    <t>ВІДДІЛ КУЛЬТУРИ, ТУРИЗМУ ТА ДІЯЛЬНОСТІ ЗАСОБІВ МАСОВОЇ ІНФОРМАЦІЇ БРУСИЛІВСЬКОЇ СЕЛИЩНОЇ РАДИ</t>
  </si>
  <si>
    <t>ВІДДІЛ ОСВІТИ БІЛОЛУЦЬКОЇ СЕЛИЩНОЇ РАДИ</t>
  </si>
  <si>
    <t>ВІДДІЛ ОСВІТИ БОГОДУХІВСЬКОЇ МІСЬКОЇ РАДИ ХАРКІВСЬКОЇ ОБЛАСТІ</t>
  </si>
  <si>
    <t>ВІДДІЛ ОСВІТИ ВИКОНАВЧОГО КОМІТЕТУ БІБРСЬКОЇ МІСЬКОЇ РАДИ</t>
  </si>
  <si>
    <t>ВІДДІЛ ОСВІТИ ВИКОНАВЧОГО КОМІТЕТУ ТЕРНІВСЬКОЇ РАЙОННОЇ У МІСТІ РАДИ</t>
  </si>
  <si>
    <t>ВІДДІЛ ОСВІТИ ВИКОНКОМУ ЦЕНТРАЛЬНО-МІСЬКОЇ РАЙОННОЇ У МІСТІ РАДИ</t>
  </si>
  <si>
    <t>ВІДДІЛ ОСВІТИ КАЛИНІВСЬКОЇ СЕЛИЩНОЇ РАДИ</t>
  </si>
  <si>
    <t>ВІДДІЛ ОСВІТИ КОЛКІВСЬКОЇ СЕЛИЩНОЇ РАДИ ВОЛИНСЬКОЇ ОБЛАСТІ</t>
  </si>
  <si>
    <t>ВІДДІЛ ОСВІТИ ЧУДНІВСЬКОЇ МІСЬКОЇ РАДИ</t>
  </si>
  <si>
    <t>ВІДДІЛ ОСВІТИ, КУЛЬТУРИ І СПОРТУ ДЖУЛИНСЬКОЇ СІЛЬСЬКОЇ РАДИ</t>
  </si>
  <si>
    <t>ВІДДІЛ ОСВІТИ, КУЛЬТУРИ, МОЛОДІ ТА СПОРТУ ВЕРХІВЦЕВСЬКОЇ МІСЬКОЇ РАДИ</t>
  </si>
  <si>
    <t>ВІДДІЛ ОСВІТИ, КУЛЬТУРИ, МОЛОДІ ТА СПОРТУ ОБОЛОНСЬКОЇ СІЛЬСЬКОЇ РАДИ</t>
  </si>
  <si>
    <t>ВІДДІЛ ОСВІТИ, КУЛЬТУРИ, МОЛОДІ ТА СПОРТУ ХРИСТИНІВСЬКОЇ МІСЬКОЇ РАДИ</t>
  </si>
  <si>
    <t>ВІДДІЛ ОСВІТИ, КУЛЬТУРИ, МОЛОДІ, СПОРТУ ТА НАЦІОНАЛЬНО-ПАТРІОТИЧНОГО ВИХОВАННЯ ДМИТРІВСЬКОЇ СІЛЬСЬКОЇ РАДИ БУЧАНСЬКОГО РАЙОНУ КИЇВСЬКОЇ ОБЛАСТІ</t>
  </si>
  <si>
    <t>ВІДДІЛ ОСВІТИ, КУЛЬТУРИ, СІМ'Ї, МОЛОДІ ТА СПОРТУ НОВОБАСАНСЬКОЇ СІЛЬСЬКОЇ РАДИ ЧЕРНІГІВСЬКОЇ ОБЛАСТІ</t>
  </si>
  <si>
    <t>ВІДДІЛ ОСВІТИ, КУЛЬТУРИ, ТУРИЗМУ, МОЛОДІ ТА СПОРТУ СІЛЬСЬКОЇ РАДИ СОЛОНКІВСЬКОЇ ОТГ</t>
  </si>
  <si>
    <t>ВІДДІЛ ОСВІТИ, МОЛОДІ ТА СПОРТУ ЧЕРНЯХІВСЬКОЇ СЕЛИЩНОЇ РАДИ</t>
  </si>
  <si>
    <t>ВІДДІЛ ОСВІТИ, МОЛОДІ ТА СПОРТУ, КУЛЬТУРИ ТА ТУРИЗМУ ЖДЕНІЇВСЬКОЇ СЕЛИЩНОЇ РАДИ</t>
  </si>
  <si>
    <t>ВІДДІЛ ОСВІТИ, СІМ'Ї, МОЛОДІ ТА СПОРТУ БОРЩІВСЬКОЇ МІСЬКОЇ РАДИ</t>
  </si>
  <si>
    <t>ВІДДІЛ ОСВІТИ,МОЛОДІ,СПОРТУ,КУЛЬТУРИ І ТУРИЗМУ КОРОЛІВСЬКОЇ СЕЛИЩНОЇ РАДИ ЗАКАРПАТСЬКОЇ ОБЛАСТІ</t>
  </si>
  <si>
    <t>ВІДОКРЕМЛЕНИЙ СТРУКТУРНИЙ ПІДРОЗДІЛ "ОДЕСЬКИЙ АВТОМОБІЛЬНО-ДОРОЖНІЙ ФАХОВИЙ КОЛЕДЖ ДЕРЖАВНОГО УНІВЕРСИТЕТУ "ОДЕСЬКА ПОЛІТЕХНІКА"</t>
  </si>
  <si>
    <t>ВІЙСЬКОВА ЧАСТИНА 1495</t>
  </si>
  <si>
    <t>ВІЙСЬКОВА ЧАСТИНА 3017</t>
  </si>
  <si>
    <t>ВІЙСЬКОВА ЧАСТИНА Т0310</t>
  </si>
  <si>
    <t>ВАЛЬНИЦІ (3 лоти):Лот 1. 26-207Р Кулькопідшипник ЕТУ 100</t>
  </si>
  <si>
    <t>ВАЛЬНИЦІ (3 лоти):Лот 2. 5-32210Р  Роликопідшипник ЕТУ 100</t>
  </si>
  <si>
    <t>ВАЛЬНИЦІ (3 лоти):Лот 3. 18,256-60±10 кулька  ЕТУ100/7-ІІ</t>
  </si>
  <si>
    <t>ВЕЛИКОБЕРЕЗНЯНСЬКА ЗАГАЛЬНООСВІТНЯ САНАТОРНА ШКОЛА-ІНТЕРНАТ І-ІІІ СТУПЕНІВ ЗАКАРПАТСЬКОЇ ОБЛАСНОЇ РАДИ</t>
  </si>
  <si>
    <t>ВИКОНАВЧИЙ КОМІТЕТ ЗОРІВСЬКОЇ СІЛЬСЬКОЇ РАДИ</t>
  </si>
  <si>
    <t>ВИКОНАВЧИЙ КОМІТЕТ КОЦЮБИНСЬКОЇ СЕЛИЩНОЇ РАДИ БУЧАНСЬКОГО РАЙОНУ КИЇВСЬКОЇ ОБЛАСТІ</t>
  </si>
  <si>
    <t>ВИКОНАВЧИЙ КОМІТЕТ НОВОДМИТРІВСЬКОЇ СІЛЬСЬКОЇ РАДИ</t>
  </si>
  <si>
    <t>ВИКОНАВЧИЙ КОМІТЕТ ОРЖИЦЬКОЇ СЕЛИЩНОЇ РАДИ</t>
  </si>
  <si>
    <t>ВИКОНАВЧИЙ КОМІТЕТ РАЇВСЬКОЇ СІЛЬСЬКОЇ РАДИ СИНЕЛЬНИКІВСЬКОГО РАЙОНУ ДНІПРОПЕТРОВСЬКОЇ ОБЛАСТІ</t>
  </si>
  <si>
    <t>ВИЩЕ ПРОФЕСІЙНЕ УЧИЛИЩЕ № 17</t>
  </si>
  <si>
    <t>ВК Виконавчий комітет Гоголівської селищної ради</t>
  </si>
  <si>
    <t>ВОЛИНСЬКА ДИРЕКЦІЯ АКЦІОНЕРНОГО ТОВАРИСТВА "УКРПОШТА"</t>
  </si>
  <si>
    <t>ВОЛИНСЬКИЙ ПУНКТ ТИМЧАСОВОГО ПЕРЕБУВАННЯ ІНОЗЕМЦІВ ТА ОСІБ БЕЗ ГРОМАДЯНСТВА, ЯКІ НЕЗАКОННО ПЕРЕБУВАЮТЬ В УКРАЇНІ ДМС УКРАЇНИ</t>
  </si>
  <si>
    <t>ВОЛНОВАСЬКА МІСЬКА ВІЙСЬКОВО-ЦИВІЛЬНА АДМІНІСТРАЦІЯ ВОЛНОВАСЬКОГО РАЙОНУ ДОНЕЦЬКОЇ ОБЛАСТІ</t>
  </si>
  <si>
    <t>ВП "Рівненська АЕС" ДП "НАЕК "Енергоатом"</t>
  </si>
  <si>
    <t>Валюта тендера</t>
  </si>
  <si>
    <t>Ванчиковецька сільська рада</t>
  </si>
  <si>
    <t>Вараський ліцей №5 Вараської міської територіальної громади Рівненської області</t>
  </si>
  <si>
    <t>Вартість участі</t>
  </si>
  <si>
    <t>Вершкове масло</t>
  </si>
  <si>
    <t>Вершкове масло  фасоване в оригінальній упаковці по 200 гр</t>
  </si>
  <si>
    <t>Вершкове масло ( не меньше 72,5%)</t>
  </si>
  <si>
    <t>Вершкове масло (масло вершкове з умістом жиру не менше 72,5 %)</t>
  </si>
  <si>
    <t>Вершкове масло:Вершкове масло, постачання по округу №1</t>
  </si>
  <si>
    <t>Вершкове масло:Вершкове масло, постачання по округу №2</t>
  </si>
  <si>
    <t>Ветеринарні послуги</t>
  </si>
  <si>
    <t>Взуття</t>
  </si>
  <si>
    <t>Вивантажено перші 1000 записів. Якщо вам потрібно більше, уточніть пошуковий запит за допомогою фільтрів</t>
  </si>
  <si>
    <t>Вивезення твердих побутових вдходів; Вивезення великогабаритних відходів (90510000-5 : Утилізація / видалення сміття та поводження зі сміттям)</t>
  </si>
  <si>
    <t xml:space="preserve">Вивіз твердих побутових відходів від  об’єктів Гуманітарного відділу Рожищенської міської ради Луцького району Волинської області </t>
  </si>
  <si>
    <t>Виготовлення проектно-кошторисної документації по об’єкту «Капітальний ремонт приміщення міської бібліотеки» за адресою Л.Толстого, 8 м. Фастів  за кодом ДК 021:2015-71320000-7 Послуги з інженерного проектування</t>
  </si>
  <si>
    <t>Виготовлення проєктно-кошторисної документації та проходження експертизи по об’єкту: «Нове будівництво багатофункціонального спортивного комплексу за адресою: вул. Паланочна, Молодіжний острів, м. Новомосковськ, Дніпропетровської області"</t>
  </si>
  <si>
    <t>Виконавчий комітет  Китайгородської сільської ради</t>
  </si>
  <si>
    <t>Виконавчий комітет Запорізької міської ради</t>
  </si>
  <si>
    <t>Виконавчий комітет Кам’янець-Подільської міської ради</t>
  </si>
  <si>
    <t>Виконавчий комітет Куп'янської міської ради Харківської області</t>
  </si>
  <si>
    <t>Виконавчий комітет Металургійної районної у місті ради</t>
  </si>
  <si>
    <t>Виконавчий комітет Роменської міської ради Сумської області</t>
  </si>
  <si>
    <t>Виконавчий комітет Студениківської сільської ради</t>
  </si>
  <si>
    <t>Виконавчий комітет Центрально-Міської районної у місті ради</t>
  </si>
  <si>
    <t>Виконавчий комітет Чулаківської сільської ради Голопристанського району Херсонської області</t>
  </si>
  <si>
    <t>Виконавчий комітет Шосткинської міської ради</t>
  </si>
  <si>
    <t xml:space="preserve">Винилискожа </t>
  </si>
  <si>
    <t>Вироби медичного призначення за ДК 021:2015  33750000-2 Засоби для догляду за малюками (33751000-9 Підгузки)  (Класифікатор медичних виробів НК 024:2019: 11239 Підгузник для дорослих; НК 024:2019: 35008 Дитячий підгузник; НК 024:2019: 34214 Урологічні прокладки)</t>
  </si>
  <si>
    <t>Висвітлення діяльності Турківської міської ради у ЗМІ</t>
  </si>
  <si>
    <t>Висвітлення інформації на сторінках газети «Славські вісті» в рамках реалізації місцевої Програми висвітлення діяльності Славської селищної ради та її виконавчих органів на 2022 рік впродовж орієнтовного періоду березень - грудень 2022 року</t>
  </si>
  <si>
    <t>Вище професійне училище Львівського державного університету безпеки життєдіяльності (м.Вінниця)    Львівський державний університет безпеки життєдіяльності</t>
  </si>
  <si>
    <t>Виявлення антитіл до вірусу імунодифіциту людини першого та другого типів, визначення наявності етилового спирту в біорідинах</t>
  </si>
  <si>
    <t>Волинська область</t>
  </si>
  <si>
    <t>Всього скарг замовника</t>
  </si>
  <si>
    <t>Вугілля камяне марок АМ 13-25, ДГ 13-100 та брикет торфяний</t>
  </si>
  <si>
    <t>Вузол ЕУ3.034.007 виробу РСБН-6С</t>
  </si>
  <si>
    <t>Відділ освіти Бориславської міської ради</t>
  </si>
  <si>
    <t>Відділ освіти Вакулівської сільської ради</t>
  </si>
  <si>
    <t>Відділ освіти виконавчого комітету Новодмитрівської сільської ради Золотоніського району Черкаської області</t>
  </si>
  <si>
    <t>Відділ освіти виконавчого комітету Рудківської міської ради Самбірського району Львівської області</t>
  </si>
  <si>
    <t>Відділ освіти та культури Лука-Мелешківської сільської ради</t>
  </si>
  <si>
    <t>Відділ освіти, культури та туризму Великомихайлівської селищної ради Роздільнянського району Одеської області</t>
  </si>
  <si>
    <t xml:space="preserve">Відділ освіти, культури, молоді та спорту Івановецької сільської ради 
</t>
  </si>
  <si>
    <t>Відділ освіти, культури, молоді та спорту Верхньосироватської сільської ради Сумського району Сумської області</t>
  </si>
  <si>
    <t>Відділ освіти, культури, молоді та спорту виконавчого комітету Кам’янської міської ради</t>
  </si>
  <si>
    <t>Відділ освіти, культури, спорту та туризму Новоборисівської сільської ради</t>
  </si>
  <si>
    <t>Відділ освіти, молоді та спорту Вигодської селищної ради</t>
  </si>
  <si>
    <t>Відділ освіти, молоді та спорту Мостиської міської ради Львівської області</t>
  </si>
  <si>
    <t xml:space="preserve">Відділ освіти, молоді, спорту та зовнішніх зв'язків Пісківської селищної ради </t>
  </si>
  <si>
    <t>Відділ освіти, молоді, спорту, культури і туризму Городненської сільської ради</t>
  </si>
  <si>
    <t>Відкриті торги</t>
  </si>
  <si>
    <t>Відкриті торги з публікацією англійською мовою</t>
  </si>
  <si>
    <t>Відокремлений підрозділ Національного університету біоресурсів і природокористування України "Великоснітинське навчально-дослідне господарство ім. О.В.Музиченка"</t>
  </si>
  <si>
    <t>Відокремлений структурний підрозділ "Краматорський фаховий коледж промисловості, інформаційних технологій та бізнесу Донбаської державної машинобудівної академії" (ВСП КФК ПІТБ ДДМА)</t>
  </si>
  <si>
    <t>Відокремлений структурний підрозділ "Могилів-Подільський технолого-економічний фаховий коледж Вінницького національного аграрного університету"</t>
  </si>
  <si>
    <t>Відокремлений структурний підрозділ "Тальянківський агротехнічний фаховий коледж Уманського національного університету садівництва"</t>
  </si>
  <si>
    <t>Відсутнє</t>
  </si>
  <si>
    <t>Військова частина 3011 Національної гвардії України</t>
  </si>
  <si>
    <t>Військова частина 3045 Національної гвардії України</t>
  </si>
  <si>
    <t>Військова частина 9971</t>
  </si>
  <si>
    <t>Військово-медичний клінічний центр Центрального регіону</t>
  </si>
  <si>
    <t>Вільшанська сільська рада</t>
  </si>
  <si>
    <t>Вінницька обласна державна адміністрація (апарат)</t>
  </si>
  <si>
    <t>Вінницька область</t>
  </si>
  <si>
    <t>ГОЛОВНЕ УПРАВЛІННЯ ПЕНСІЙНОГО ФОНДУ УКРАЇНИ В ХЕРСОНСЬКІЙ ОБЛАСТІ</t>
  </si>
  <si>
    <t>ГОЛОВНИЙ ВІЙСЬКОВО-МЕДИЧНИЙ КЛІНІЧНИЙ ЦЕНТР (ЦЕНТРАЛЬНИЙ КЛІНІЧНИЙ ГОСПІТАЛЬ ) ДЕРЖАВНОЇ ПРИКОРДОННОЇ СЛУЖБИ УКРАЇНИ</t>
  </si>
  <si>
    <t>ГП "УСЗН Новоукраїнської РДА"</t>
  </si>
  <si>
    <t>Газ для автомобілів - код ДК 021:2015 (CPV) – 09120000-6 Газове паливо (Пропан-бутан - 09122000-0 Пропан і бутан)</t>
  </si>
  <si>
    <t>Газети</t>
  </si>
  <si>
    <t>Газети та журнали України</t>
  </si>
  <si>
    <t>Газове паливо</t>
  </si>
  <si>
    <t>Газове паливо за кодом ДК 021:2015 - 09120000-6 (газ пропан, бутан скраплений) - 2 лоти: Лот №1 – газ пропан, бутан скраплений в талонах; Лот №2 – газ пропан, бутан скраплений для заправки балонів:газ пропан, бутан скраплений в талонах</t>
  </si>
  <si>
    <t>Газове паливо за кодом ДК 021:2015 - 09120000-6 (газ пропан, бутан скраплений) - 2 лоти: Лот №1 – газ пропан, бутан скраплений в талонах; Лот №2 – газ пропан, бутан скраплений для заправки балонів:газ пропан, бутан скраплений для заправки балонів</t>
  </si>
  <si>
    <t>Гельмязівський психоневрологічний інтернат</t>
  </si>
  <si>
    <t>Генератор бензиновий Konner&amp;Sohnen KS 10000E ATS</t>
  </si>
  <si>
    <t>Глибочицька сільська рада Житомирського району Житомирської області</t>
  </si>
  <si>
    <t>Голенищівська спеціальна  школа Хмельницької обласної ради</t>
  </si>
  <si>
    <t>Головне управління ДПС у Львівській області</t>
  </si>
  <si>
    <t>Головне управління Державної служби України з надзвичайних ситуацій у Вінницькій області</t>
  </si>
  <si>
    <t>Головне управління Національної поліції в Кіровоградській області</t>
  </si>
  <si>
    <t>Головне управління Національної поліції в Полтавській області</t>
  </si>
  <si>
    <t>Головне управління Пенсійного фонду України в Дніпропетровській області</t>
  </si>
  <si>
    <t>Головне управління Пенсійного фонду України в Миколаївській області</t>
  </si>
  <si>
    <t>Головний сервісний центр МВС</t>
  </si>
  <si>
    <t>Головницька загальноосвітня школа І-ІІІ ступенів Корецької  міської ради</t>
  </si>
  <si>
    <t>Городнянський психоневрологічний інтернат</t>
  </si>
  <si>
    <t>Горох, сочевиця, квасоля суха та картопля за кодом ДК 021:2015 – 03210000-6 Зернові культури та картопля</t>
  </si>
  <si>
    <t>Горохівський психоневрологічний інтернат  Категорія замовника:відповідно до п.3 ч.1 ст.2 ЗУ "Про публічні закупівлі"</t>
  </si>
  <si>
    <t>Горошок зелений свіжоморожений, огірки солоні, помідори солоні, капуста квашена, родзинки без кісточок, сухофрукти, томатна паста, повидло</t>
  </si>
  <si>
    <t>Грам</t>
  </si>
  <si>
    <t>Гречка; рис; кускус; булгур; крупа пшенична; пшоно; крупа кукурудзяна; перловка; борошно; крупа вівсяна (геркулес); крупа ячнева.</t>
  </si>
  <si>
    <t>Група по транспортно-господарському обслуговуванню міськрайрад</t>
  </si>
  <si>
    <t>Гуманітарний відділ Рожищенської міської ради</t>
  </si>
  <si>
    <t>Гуманітарний відділ виконавчого комітету Миронівської міської ради  Обухівського району Київської області</t>
  </si>
  <si>
    <t>ДЕПАРТАМЕНТ ЖИТЛОВО-КОМУНАЛЬНОГО ГОСПОДАРСТВА ХАРКІВСЬКОЇ МІСЬКОЇ РАДИ</t>
  </si>
  <si>
    <t>ДЕПАРТАМЕНТ З ПИТАНЬ РОЗВИТКУ ЖИТЛОВОГО ФОНДУ ТА РЕМОНТІВ КОМУНАЛЬНОЇ ВЛАСНОСТІ МАРІУПОЛЬСЬКОЇ МІСЬКОЇ РАДИ</t>
  </si>
  <si>
    <t>ДЕПАРТАМЕНТ КАПІТАЛЬНОГО БУДІВНИЦТВА ТА ДОРОЖНЬОГО ГОСПОДАРСТВА ОДЕСЬКОЇ ОБЛАСНОЇ ДЕРЖАВНОЇ АДМІНІСТРАЦІЇ</t>
  </si>
  <si>
    <t>ДЕПАРТАМЕНТ МІСЬКОЇ ІНФРАСТРУКТУРИ УЖГОРОДСЬКОЇ МІСЬКОЇ РАДИ</t>
  </si>
  <si>
    <t>ДЕПАРТАМЕНТ НАДАННЯ АДМІНІСТРАТИВНИХ ПОСЛУГ ОДЕСЬКОЇ МІСЬКОЇ РАДИ</t>
  </si>
  <si>
    <t>ДЕРЖАВНА УСТАНОВА "ІНСТИТУТ ПРОБЛЕМ ЕНДОКРИННОЇ ПАТОЛОГІЇ ІМ.В.Я. ДАНИЛЕВСЬКОГО НАЦІОНАЛЬНОЇ АКАДЕМІЇ МЕДИЧНИХ НАУК УКРАЇНИ"</t>
  </si>
  <si>
    <t>ДЕРЖАВНА УСТАНОВА "ВІННИЦЬКА УСТАНОВА ВИКОНАННЯ ПОКАРАНЬ (№1)"</t>
  </si>
  <si>
    <t>ДЕРЖАВНА УСТАНОВА "ГОЛОВНИЙ МЕДИЧНИЙ ЦЕНТР МІНІСТЕРСТВА ВНУТРІШНІХ СПРАВ УКРАЇНИ"</t>
  </si>
  <si>
    <t>ДЕРЖАВНА УСТАНОВА "ДОШКІЛЬНИЙ НАВЧАЛЬНИЙ ЗАКЛАД (ДИТЯЧИЙ САДОК) №41 "ЗОЛОТИЙ КЛЮЧИК" (М. КРОПИВНИЦЬКИЙ) НАЦІОНАЛЬНОЇ ПОЛІЦІЇ УКРАЇНИ"</t>
  </si>
  <si>
    <t>ДЕРЖАВНА УСТАНОВА "ЛЬВІВСЬКИЙ ОБЛАСНИЙ ЦЕНТР КОНТРОЛЮ ТА ПРОФІЛАКТИКИ ХВОРОБ МІНІСТЕРСТВА ОХОРОНИ ЗДОРОВ’Я УКРАЇНИ"</t>
  </si>
  <si>
    <t>ДЕРЖАВНА УСТАНОВА "СУМСЬКА ВИПРАВНА КОЛОНІЯ (№ 116)"</t>
  </si>
  <si>
    <t>ДЕРЖАВНА УСТАНОВА "ХЕРСОНСЬКИЙ СЛІДЧИЙ ІЗОЛЯТОР"</t>
  </si>
  <si>
    <t>ДЕРЖАВНЕ ПІДПРИЄМСТВО "ІНФОТЕХ"</t>
  </si>
  <si>
    <t>ДЕРЖАВНЕ ПІДПРИЄМСТВО "ДЕРЖАВНЕ КИЇВСЬКЕ КОНСТРУКТОРСЬКЕ БЮРО "ЛУЧ"</t>
  </si>
  <si>
    <t>ДЕРЖАВНЕ ПІДПРИЄМСТВО "ДНІПРОПЕТРОВСЬКИЙ РЕГІОНАЛЬНИЙ ДЕРЖАВНИЙ НАУКОВО-ТЕХНІЧНИЙ ЦЕНТР СТАНДАРТИЗАЦІЇ, МЕТРОЛОГІЇ ТА СЕРТИФІКАЦІЇ"</t>
  </si>
  <si>
    <t>ДЕРЖАВНЕ ПІДПРИЄМСТВО "ЕЛЕКТРИЧНІ СИСТЕМИ"</t>
  </si>
  <si>
    <t>ДЕРЖАВНЕ ПІДПРИЄМСТВО "ЗАВОД ІМЕНІ В.О.МАЛИШЕВА"</t>
  </si>
  <si>
    <t>ДЕРЖАВНЕ ПІДПРИЄМСТВО "ЗАПОРІЗЬКЕ МАШИНОБУДІВНЕ КОНСТРУКТОРСЬКЕ БЮРО "ПРОГРЕС" ІМЕНІ АКАДЕМІКА О.Г.Івченко</t>
  </si>
  <si>
    <t>ДЕРЖАВНЕ ПІДПРИЄМСТВО "ЗАПОРІЗЬКИЙ ДЕРЖАВНИЙ АВІАЦІЙНИЙ РЕМОНТНИЙ ЗАВОД "МІГРЕМОНТ"</t>
  </si>
  <si>
    <t>ДЕРЖАВНЕ ПІДПРИЄМСТВО "КОНОТОПСЬКИЙ АВІАРЕМОНТНИЙ ЗАВОД "АВІАКОН"</t>
  </si>
  <si>
    <t>ДЕРЖАВНЕ ПІДПРИЄМСТВО "ЛУЦЬКИЙ РЕМОНТНИЙ ЗАВОД "МОТОР"</t>
  </si>
  <si>
    <t>ДЕРЖАВНЕ ПІДПРИЄМСТВО "ЛЬВІВСЬКИЙ ДЕРЖАВНИЙ АВІАЦІЙНО-РЕМОНТНИЙ ЗАВОД"</t>
  </si>
  <si>
    <t>ДЕРЖАВНЕ ПІДПРИЄМСТВО "МИКОЛАЇВСЬКИЙ АВІАРЕМОНТНИЙ ЗАВОД "НАРП"</t>
  </si>
  <si>
    <t>ДЕРЖАВНЕ ПІДПРИЄМСТВО "НАУКОВО-ВИРОБНИЧИЙ КОМПЛЕКС ГАЗОТУРБОБУДУВАННЯ "ЗОРЯ" - "МАШПРОЕКТ"</t>
  </si>
  <si>
    <t>ДЕРЖАВНЕ ПІДПРИЄМСТВО "ТОРЕЦЬКВУГІЛЛЯ"</t>
  </si>
  <si>
    <t>ДЕРЖАВНЕ ПІДПРИЄМСТВО "УДВП ІЗОТОП"</t>
  </si>
  <si>
    <t>ДЕРЖАВНЕ ПІДПРИЄМСТВО "ХАРКІВСЬКЕ КОНСТРУКТОРСЬКЕ БЮРО З МАШИНОБУДУВАННЯ ІМЕНІ О.О. МОРОЗОВА"</t>
  </si>
  <si>
    <t>ДЕРЖАВНЕ ПІДПРИЄМСТВО "ХАРКІВСЬКИЙ ЗАВОД СПЕЦІАЛЬНИХ МАШИН"</t>
  </si>
  <si>
    <t>ДЕРЖАВНЕ ПІДПРИЄМСТВО "ШЕПЕТІВСЬКИЙ РЕМОНТНИЙ ЗАВОД"</t>
  </si>
  <si>
    <t>ДЕРЖАВНИЙ ЗАКЛАД "УКРАЇНСЬКИЙ  МЕДИЧНИЙ ЦЕНТР АКУШЕРСТВА,ГІНЕКОЛОГІЇ ТА РЕПРОДУКТОЛОГІЇ МІНІСТЕРСТВА ОХОРОНИ ЗДОРОВ'Я УКРАЇНИ"</t>
  </si>
  <si>
    <t>ДЕРЖАВНИЙ НАУКОВИЙ ЦЕНТР ЗАХИСТУ КУЛЬТУРНОЇ СПАДЩИНИ ВІД ТЕХНОГЕННИХ КАТАСТРОФ</t>
  </si>
  <si>
    <t>ДЗ "Луганський національний університет імені Тараса Шевченка"</t>
  </si>
  <si>
    <t>ДЗ "Українська алергологічна лікарня МОЗ України"</t>
  </si>
  <si>
    <t>ДК 021-2015 (CPV) - 33140000-3 Медичні матеріали  (Шпателя одноразові (НК 024:2019: 42461), Пробірки вакуумна для забору крові 6 мл, з КЗ ЕДТА №100 (НК 024:2019: 47588), Пробірки вакуумна для забору крові 6 мл, з активатором згортання (НК 024:2019: 57899), Пробірки вакуумна для забору крові 5 мл, з гелем та активатором згортання (НК 024:2019: 57899), Пробірка для забору капілярної крові з капіляром 0,2 мл з КЗ ЕДТА, №40 (НК 024:2019: 58143), Дитячий ланцет №200 (НК 024:2019:61578), Ланцети одноразового використання №200 (НК 024:2019: 61578),  Голка тримач 2-х стор. 21 G для забору крові №10 (НК 024:2019: 35209), Холтер (тримач) для вакуумної пробірки №100 (НК 024:2019: 37566) Маска-клапан для штучної вентиляції легень (НК 024:2019: 35173), Серветка марлева (НК 024:2019: 48134), Лейкопластир (5см*10м) (НК 024:2019: 58986), Спиртова серветка №100 (НК 024:2019: 17988), Джгут (НК 024:2019: 35844), Контейнер для зберігання термометрів (НК 024:2019: 34853), Контейнер для збору голок 1,5л. (НК 024:2019:14424), Контейнер для збору голок 3л. (НК 024:2019: 14424)</t>
  </si>
  <si>
    <t>ДК 021-2015 (CPV) 90510000-5 - Утилізація/видалення сміття та поводження зі сміттям. Послуги з поводження з побутовими відходами (вивезення, перевезення, захоронення твердих побутових відходів)</t>
  </si>
  <si>
    <t>ДК 021: 2015 15550000-8 Молочні продукти різні:ДК 021: 2015 15550000-8 Молочні продукти різні</t>
  </si>
  <si>
    <t xml:space="preserve">ДК 021:2015  72260000-5	Послуги, пов’язані з програмним забезпеченням
(Послуги з програмування та консультаційні послуги з питань програмного забезпечення)
</t>
  </si>
  <si>
    <t>ДК 021:2015 "33710000-0 - Парфуми, засоби гігієни та презервативи" (крем-мило туал., крем для гоління, парфумерний засіб, зубна паста, ватні палички, шампунь,  зубна щітка, гребінці для волосся, гребінець для стрижки, помазок, мочалкадля купання.)</t>
  </si>
  <si>
    <t>ДК 021:2015 "98350000-1 Послуги громадських пунктів збору та переробки сміття (Послуги автостоянок м.Київ-3)"</t>
  </si>
  <si>
    <t>ДК 021:2015 "98350000-1 Послуги громадських пунктів збору та переробки сміття (Послуги автостоянок м.Київ-4)"</t>
  </si>
  <si>
    <t>ДК 021:2015 "Єдиний закупівельний словник" - 15830000-5 (цукор і супутня продукція ( цукор, ванільний цукор)</t>
  </si>
  <si>
    <t>ДК 021:2015 (CPV) : 15610000-7 Продукція борошномельно-круп'яної промисловості</t>
  </si>
  <si>
    <t xml:space="preserve">ДК 021:2015 (CPV) : 33600000-6 –Фармацевтична продукція (Фурацилін 0,02% (МНН: Nitrofural), Перикис водню 3% (МНН: Hydrogen peroxide), Морфіну гідрохлорид 1% (МНН: Morphine)) </t>
  </si>
  <si>
    <t>ДК 021:2015 (CPV):50413200-5 Послуги з ремонту і технічного обслуговування протипожежного обладнання (технічне обслуговування системи пожежної сигналізації, системи керування евакуюванням в амбулаторіях КНП «ЦПМСД №2» Дарницького району м. Києва)</t>
  </si>
  <si>
    <t>ДК 021:2015 - 03140000-4 - продукція тваринництва та супутня продукція (Яйця курячі харчові  столові першої категорії (С1)</t>
  </si>
  <si>
    <t>ДК 021:2015 - 03140000-4: Продукція тваринництва та супутня продукція (Яйця)</t>
  </si>
  <si>
    <t>ДК 021:2015 - 03210000-6 Зернові культури та картопля</t>
  </si>
  <si>
    <t>ДК 021:2015 - 03220000-9 Овочі, фрукти та горіхи</t>
  </si>
  <si>
    <t>ДК 021:2015 - 09130000-9 - Нафта і дистиляти</t>
  </si>
  <si>
    <t>ДК 021:2015 - 09130000-9 Нафта і дистиляти (Дизельне паливо Євро5 , Бензин А-92-Євро5)</t>
  </si>
  <si>
    <t>ДК 021:2015 - 09130000-9 Нафта і дистиляти (бензин А-95 (за талонами), відповідний код ЄЗС: ДК 021:2015 - 09132100-4 Неетильований бензин)</t>
  </si>
  <si>
    <t xml:space="preserve">ДК 021:2015 - 09320000-8 - Пара, гаряча вода та пов'язана продукція (постачання теплової енергії). 
            </t>
  </si>
  <si>
    <t>ДК 021:2015 - 14430000-4 – Випарена сіль і чистий хлорид натрію (Сіль таблетована)</t>
  </si>
  <si>
    <t xml:space="preserve">ДК 021:2015 - 15880000-0 Спеціальні продукти
харчування, збагачені поживними речовинами (Спеціальний продукт харчування для дітей від 1-14років хворих на фенілкетонурію Comida PKU B (Коміда ФКУ В))
</t>
  </si>
  <si>
    <t>ДК 021:2015 - 39830000-9  Продукція для чищення (мийні засоби - "Білизна скло", "Білизна поверхня", "Білизна посуд")</t>
  </si>
  <si>
    <t>ДК 021:2015 09310000-5 Електрична енергія</t>
  </si>
  <si>
    <t>ДК 021:2015 15110000-2 М’ясо (філе курятини охолоджене, мясо свинини (тазостегнова частина) охолоджене)</t>
  </si>
  <si>
    <t>ДК 021:2015 15840000-8 Какао; шоколад та цукрові кондитерські вироби (15841000-5 Какао).</t>
  </si>
  <si>
    <t>ДК 021:2015 15860000-4 Кава, чай та супутня продукція (15863000-5 Чай).</t>
  </si>
  <si>
    <t>ДК 021:2015 15870000-7 Заправки та приправи (15872200-3 Спеції (Лавровий лист), 1587220000-3 Спеції (Ванільний цукор), 15872200-3 Спеції (Кислота лимонна), 15872400-5 Сіль йодована)).</t>
  </si>
  <si>
    <t>ДК 021:2015 30190000-7 — Офісне устаткування та приладдя різне (Офісний папір для друку, папір сірий А4, файли для документів А4, стрічка для принтерів, стрічка для термопринтерів )</t>
  </si>
  <si>
    <t>ДК 021:2015 33140000-3 Медичні матеріали (Рукавички  медичні та спеціальні захисні) Рукавички медичні нітрилові оглядові нестерильні неприпудрені торгової марки IGAR, розмір S  (НК 024:2019: 56286 – Рукавички оглядові/ процедурні нітрилові, необпудровані, нестерильні); Рукавички медичні нітрилові оглядові нестерильні неприпудрені торгової марки IGAR, розмір М (НК 024:2019: 56286 – Рукавички оглядові/ процедурні нітрилові, необпудровані, нестерильні); Рукавички медичні оглядові нітрилові Sempercare Silk нестерильні неприпудрені білого кольору  розмір М (НК 024:2019: 56286 – Рукавички оглядові/ процедурні нітрилові, необпудровані, нестерильні); Рукавички оглядові латексні «MEDICARE» (нестерильні, текстуровані, з пудрою) розмір S (НК 024:2019 47173 - Припудрені, оглядові / процедурні рукавички з латексу гевеї, нестерильні); Рукавички оглядові латексні «MEDICARE» (нестерильні, текстуровані, з пудрою) розмір M (К 024:2019 47173 - Припудрені, оглядові / процедурні рукавички з латексу гевеї, нестерильні)</t>
  </si>
  <si>
    <t>ДК 021:2015 33750000-2 Засоби для догляду за малюками (підгузки для дорослих)</t>
  </si>
  <si>
    <t>ДК 021:2015 33750000-2 – Засоби для догляду за малюками (Підгузки для дорослих, підгузки-труси для дорослих,  дитячі підгузки). Код за НК 024:2019 «Класифікатор медичних виробів»: 11239-підгузки для дорослих, 35008 – Дитячий підгузок</t>
  </si>
  <si>
    <t xml:space="preserve">ДК 021:2015 34140000-0 «Великовантажні мототранспортні засоби» (Підіймач монтажний спеціальний ОПТ – 9195 з подовженою стілою на базі трактора Белорус – 82.1) (або еквівалент)
</t>
  </si>
  <si>
    <t xml:space="preserve">ДК 021:2015 38430000-8 Детектори та аналізатори (Напівавтоматичний біохімічний аналізатор, НК 024:2019:56679 Біохімічний одноканаловий аналізатор лабораторний IVD, Напівавтоматичний). </t>
  </si>
  <si>
    <t>ДК 021:2015 44110000-4 Конструкційні матеріали (цвяхи, електроди, круги відрізні)</t>
  </si>
  <si>
    <t>ДК 021:2015 44420000-0 Будівельні товари (44425000-5 Набивка сальникова)</t>
  </si>
  <si>
    <t xml:space="preserve">ДК 021:2015 45510000-5 Прокат підіймальних кранів із оператором (послуги автовишки)
</t>
  </si>
  <si>
    <t>ДК 021:2015 50110000-9 Послуги з ремонту і технічного обслуговування мототранспортних засобів і супутнього обладнання. Шиноремонтні послуги, у тому числі шиномонтажні послуги та послуги з балансування коліс, послуги з регулювання геометрії коліс на транспортних засобах</t>
  </si>
  <si>
    <t>ДК 021:2015 60170000-0 "Прокат пасажирських транспортних засобів із водієм</t>
  </si>
  <si>
    <t>ДК 021:2015 : 85140000-2 Послуги у сфері охорони здоров’я різні (Лабораторні послуги)</t>
  </si>
  <si>
    <t>ДК 021:2015 «09130000-9» - «Нафта і дистиляти» (Паливо дизельне З-К5 в талонах</t>
  </si>
  <si>
    <t>ДК 021:2015 «33140000-3 Медичні матеріали» (медичні матеріали)</t>
  </si>
  <si>
    <t>ДК 021:2015 «71630000-3» -  Послуги з технічного огляду та випробувань (Послуги з проведення обов’язкового технічного контролю транспортних засобів відповідно до чинного законодавства)</t>
  </si>
  <si>
    <t>ДК 021:2015 Код 14622000-7- Сталь Лист 20мм AISI-321/08х18Н10Т/12х18Н10Т ГОСТ 18968-73 (25)  7363,7374,7378</t>
  </si>
  <si>
    <t>ДК 021:2015 за кодом Єдиного закупівельного словника (CPV) 71630000-3 - Послуги з технічного огляду та випробувань</t>
  </si>
  <si>
    <t xml:space="preserve">ДК 021:2015 код 09130000-9 Нафта і дистиляти (ДК 021:2015 : 09132000-3 (бензин), ДК 021: 2015 : 09134200 -9 (дизельне паливо)),  (талони)).
</t>
  </si>
  <si>
    <t>ДК 021:2015 код 15110000-2 «М’ясо» (тушки курей заморожені (15112130-6 - курятина))</t>
  </si>
  <si>
    <t>ДК 021:2015 код 15110000-2 – М’ясо (Філе птиці куряче охолоджене – ДК 021:2015 код 15112130-6 Курятина, стегно куряче охолоджене – ДК 021:2015 код 15112130-6 Курятина, м'ясо яловичини м’якоть охолоджене ДК 021:2015: 15111100-0 Яловичина, м'ясо свинини м'якоть охолоджене  ДК 021:2015:15113000-3 Свинина)</t>
  </si>
  <si>
    <t>ДК 021:2015 код 15240000-2 Рибні консерви та інші рибні страви і пресерви (Крабові палички)</t>
  </si>
  <si>
    <t>ДК 021:2015 код 15420000-8 Рафіновані олії та жири (CPV) (Олія соняшникова рафінована)</t>
  </si>
  <si>
    <t>ДК 021:2015 код 15510000-6 «Молоко та вершки» (молоко рідке від 2,5% жир. п/е (15511100-4 - пастеризоване молоко)</t>
  </si>
  <si>
    <t>ДК 021:2015 код 15890000-3 Продукти харчування та сушені продукти різні (Дріжджі хлібопекарські та інше)</t>
  </si>
  <si>
    <t>ДК 021:2015 код 22410000-7 Марки</t>
  </si>
  <si>
    <t>ДК 021:2015 код 31520000-7 Світильники та освітлювальна арматура (Поставка світильників для філії "Дністровська ГЕС" ПрАТ "Укргідроенерго")</t>
  </si>
  <si>
    <t>ДК 021:2015 код 50410000-2 - Послуги з ремонту і технічного обслуговування вимірювальних, випробувальних і контрольних приладів (послуги з ремонту вимірювальної техніки)</t>
  </si>
  <si>
    <t>ДК 021:2015 код CPV – 15870000-7 - Заправки та приправи (спеції: хмелі сунелі,розмарин сушений, чебрець сушений, орегано сушений, куркума мелена, м’ята сушена, лавровий лист, лимонна кислота, сіль йодована для закладів дошкільної освіти Вигодської селищної ради).</t>
  </si>
  <si>
    <t>ДК 021:2015 код15110000-2 М'ясо «М’ясо свійської птиці, свіже чи охолоджене» «М’ясо свійської птиці, свіже» (Тушка куряча охолоджена)</t>
  </si>
  <si>
    <t>ДК 021:2015 – 09310000-5 Електрична енергія (з супутніми послугами її передачі та розподілу)</t>
  </si>
  <si>
    <t>ДК 021:2015 – 15110000-2 «М’ясо» (м’ясні товари)</t>
  </si>
  <si>
    <t>ДК 021:2015 – 15220000-6 «Риба, рибне філе та інше м'ясо риби морожені» (рибна продукція)</t>
  </si>
  <si>
    <t>ДК 021:2015 – 33140000-3 – " Медичні матеріали " (НК 024:2019 : 48126-Рулон марлевий, нестерильний (Бинт марлевий медичний нестерильний розмір 5 м х 10 см, тип 17); 48126-Рулон марлевий, нестерильний (Бинт марлевий медичний нестерильний розмір 7 м х 14 см,  тип 17); 48126-Рулон марлевий, нестерильний (Відріз марлевий медичний нестерильний 5м*90см, тип марлі 17); 33056-Матеріал для накладення гіпсової пов'язки (Бинт гіпсовий 15см х 2,7 м); 33056-Матеріал для накладення гіпсової пов'язки (Бинт гіпсовий 20см х 2,7 м); 63095-Шприц / голка загального призначення (Шприц ін'єкційний одноразового використання, Луєр Сліп, 2 мл (трьохкомпонентний, з голкою 23G х 1" (0,6 x 25мм))); 63095-Шприц / голка загального призначення (Шприц ін'єкційний одноразового використання, Луєр Сліп, 5 мл (трьохкомпонентний, з голкою 22G х 1 1/2" (0,7 x 38мм))); 63095-Шприц / голка загального призначення (Шприц ін'єкційний одноразового використання, Луєр Сліп, 10 мл (трьохкомпонентний, з голкою 21G х 1 ½" (0,8 x 38мм))); 63095-Шприц / голка загального призначення (Шприц ін'єкційний одноразового використання, Луєр Сліп, 20 мл (трьохкомпонентний, з голкою 21G х 1 ½" (0,8 x 38мм))); 36244-Набір для внутрішньовенних вливань через інфузійний контролер (Одноразова система  для переливання крові, кровозамінників та інфузійних розчинів); 36244-Набір для внутрішньовенних вливань через інфузійний контролер (Одноразова система для вливання інфузійних розчинів, з регулятором потоку (від 0 до 250 мл/год та від 0 до 200 мл/год)); 47173-Припудрені, оглядові / процедурні рукавички з латексу гевеї, нестерильні (Рукавички оглядові латексні  (нестерильні, текстуровані, з пудрою) розмір S); 47173-Припудрені, оглядові / процедурні рукавички з латексу гевеї, нестерильні (Рукавички оглядові латексні  (нестерильні, текстуровані, з пудрою) розмір М); 47173-Припудрені, оглядові / процедурні рукавички з латексу гевеї, нестерильні (Рукавички оглядові латексні  (нестерильні, текстуровані, з пудрою) розмір L); 40548-Хірургічна рукавичка, латексна (Рукавички хірургічні латексні  (стерильні, з пудрою, текстуровані, з валиком на манжеті) розмір 7,0); 40548-Хірургічна рукавичка, латексна (Рукавички хірургічні латексні  (стерильні, з пудрою, текстуровані, з валиком на манжеті) розмір 7,5); 40548-Хірургічна рукавичка, латексна (Рукавички хірургічні латексні  (стерильні, з пудрою, текстуровані, з валиком на манжеті) розмір 8,0); 40548-Хірургічна рукавичка, латексна (Рукавички хірургічні "подвійні" стерильні (нітрилові, без пудри, 1 пара та латексні, з пудрою, 1 пара) розмір 7,0); 58986-Лейкопластир хірургічний універсальний, нестерильний (Нетканий еластичний хірургічний пластир розміром 5м х 5см).</t>
  </si>
  <si>
    <t>ДК 021:2015 – 33690000-3 Лікарські засоби різні (Діагностичні набори та реагенти)</t>
  </si>
  <si>
    <t>ДК 021:2015 – 33710000-0 Парфуми, засоби гігієни та презервативи (33711900-6 мило).</t>
  </si>
  <si>
    <t>ДК 021:2015 – 34630000-2 Частини залізничних або трамвайних локомотивів чи рейкового рухомого складу; обладнання для контролю залізничного руху (колодки гальмівні):Лот 1.</t>
  </si>
  <si>
    <t>ДК 021:2015 – 34630000-2 Частини залізничних або трамвайних локомотивів чи рейкового рухомого складу; обладнання для контролю залізничного руху (колодки гальмівні):Лот 2.</t>
  </si>
  <si>
    <t>ДК 021:2015 – 34630000-2 Частини залізничних або трамвайних локомотивів чи рейкового рухомого складу; обладнання для контролю залізничного руху (колодки гальмівні):Лот 3.</t>
  </si>
  <si>
    <t>ДК 021:2015 – 50110000-9 Послуги з ремонту і технічного обслуговування мототранспортних засобів і супутнього обладнання (послуги з технічного обслуговування та ремонту автомобілів з газобалонним обладнанням)</t>
  </si>
  <si>
    <t>ДК 021:2015 – 50310000-1 «Технічне обслуговування і ремонт офісної техніки» (заправка/відновлення картриджів, ремонт принтерів)</t>
  </si>
  <si>
    <t>ДК 021:2015 – 66510000-8 (Послуги добровільного медичного страхування та страхування від нещасних випадків)</t>
  </si>
  <si>
    <t>ДК 021:2015 – 72410000-7 Послуги провайдерів (Послуги з  надання доступу до мережі Інтернет)</t>
  </si>
  <si>
    <t xml:space="preserve">ДК 021:2015 – код: 15880000-0 Спеціальні продукти харчування, збагачені поживними речовинами
(Спеціальне лікувальне  харчування для  дорослих та дітей, хворих на фенілкетонурію: пігулки НеоФе або еквівалент)
</t>
  </si>
  <si>
    <t>ДК 021:2015 –14620000-3–Сплави ( металлопрокат в асортименті)</t>
  </si>
  <si>
    <t>ДК 021:2015-50330000-7 Послуги з технічного обслуговування телекомунікаційного обладнання</t>
  </si>
  <si>
    <t>ДК 021:2015. 03220000-9. Овочі, фрукти та горіхи (банан (03222111-4), лимон (03222210-8), яблуко (03222321-9), апельсин (03222220-1), капуста (03221410-3), кабачок (03221250-3), гарбуз (03222310-9), горіхи (03222000-3), часник (03221110-0), цибуля (03221113-1), морква (03221112-4), буряк (03221111-7))</t>
  </si>
  <si>
    <t>ДК 021:2015. 03410000-7. Деревина (паливна деревина (03413000-8))</t>
  </si>
  <si>
    <t>ДК 021:2015. 15540000-5. Сирні продукти (сир твердий (15544000-3), сир кисломолочний (15542000-9))</t>
  </si>
  <si>
    <t>ДК 021:2015: 03210000-6 - Зернові культури та картопля (картопля, горох, квасоля, сочевиця)</t>
  </si>
  <si>
    <t>ДК 021:2015: 09310000-5 — Електрична енергія (Електрична енергія)</t>
  </si>
  <si>
    <t>ДК 021:2015: 09310000-5 — Електрична енергія (Електрична енергія).</t>
  </si>
  <si>
    <t>ДК 021:2015: 15220000-6 «Риба,рибне філе та інше м’ясо риби морожені»( Риба морожена хек, оселедець заморожений).</t>
  </si>
  <si>
    <t>ДК 021:2015: 24300000-7 Основні органічні та неорганічні хімічні речовини</t>
  </si>
  <si>
    <t>ДК 021:2015: 30190000-7 - Папір офісний формату А4</t>
  </si>
  <si>
    <t>ДК 021:2015: 33600000-6 Фармацевтична продукція (лікарські засоби) (Lanreotide, Clonidine)</t>
  </si>
  <si>
    <t>ДК 021:2015: 39110000-6 -  Сидіння, стільці та супутні вироби і частини до них.</t>
  </si>
  <si>
    <t>ДК 021:2015: 39550000-2  - Вироби з нетканих матеріалів</t>
  </si>
  <si>
    <t>ДК 021:2015: 45450000-6 Інші завершальні будівельні роботи (Поточний ремонт приміщень медичного пункту Комунального підприємства «Спортивний комплекс «МЕТАЛІСТ» Харківської міської ради»)</t>
  </si>
  <si>
    <t>ДК 021:2015: 79310000-0 Послуги з проведення ринкових досліджень (послуги з технічного обстеження будівель)</t>
  </si>
  <si>
    <t>ДК 021:2015: 79710000-4 - Охоронні послуги (Послуги охорони майна з реагуванням наряду поліції та цілодобова пультова охорона; спостереження за системою пожежної сигналізації):Послуги охорони майна з реагуванням наряду поліції та цілодобова пультова охорона</t>
  </si>
  <si>
    <t>ДК 021:2015: 79710000-4 - Охоронні послуги (Послуги охорони майна з реагуванням наряду поліції та цілодобова пультова охорона; спостереження за системою пожежної сигналізації):Спостереження за системою пожежної сигналізації</t>
  </si>
  <si>
    <t>ДК 021:2015: 79940000-5 - Послуги колекторських агентств( Послуги агентств щодо стягнення заборгованості)</t>
  </si>
  <si>
    <t>ДК 021:2015: 79990000-0 - Різні послуги пов’язані з діловою сферою</t>
  </si>
  <si>
    <t xml:space="preserve">ДК 021:2015: 90610000-6 - Послуги з прибирання та підмітання вулиць (Послуги з прибирання та підмітання вулично-дорожньої мережі м.Мукачево) </t>
  </si>
  <si>
    <t>ДК 021:2015:15110000-2 М’ясо (ДК 021:2015: 15111100-0 - Яловичина; ДК 021:2015: 15112130-6 Курятина)</t>
  </si>
  <si>
    <t>ДК021:2015 33600000-6  Фармацевтична продукція 
: ДК021:33610000-6 Лікарські засоби для лікування захворювань шлунково-кишкового тракту та розладів обміну речовин</t>
  </si>
  <si>
    <t>ДК021:2015 33600000-6  Фармацевтична продукція 
:ДК 021:2015 33620000-2 Лікарські засоби для лікування захворювань крові, органів кровотворення та захворювань серцево-судинної системи</t>
  </si>
  <si>
    <t>ДК021:2015 33600000-6  Фармацевтична продукція 
:ДК 021:2015 33630000-5 Лікарські засоби для лікування дерматологічних захворювань та захворювань опорно-рухового апарату:</t>
  </si>
  <si>
    <t xml:space="preserve">ДК021:2015 33600000-6  Фармацевтична продукція 
:ДК 021:2015 33660000-4 Лікарські засоби для лікування хвороб нервової системи за захворювань органів чуття </t>
  </si>
  <si>
    <t>ДК021:2015 33600000-6  Фармацевтична продукція 
:ДК021:2015 33690000-3 Лікарські засоби різні</t>
  </si>
  <si>
    <t>ДК:021:2015:30210000-4 Машини для обробки даних (апаратна частина), Комп’ютерне обладнання (персональний комп’ютер в комплекті та ноутбук).</t>
  </si>
  <si>
    <t>ДНЗ "РЕШЕТИЛІВСЬКИЙ ПАЛ ІМЕНІ І.Г. Боровенського"</t>
  </si>
  <si>
    <t>ДОНЕЦЬКИЙ НАЦІОНАЛЬНИЙ УНІВЕРСИТЕТ ЕКОНОМІКИ І ТОРГІВЛІ ІМЕНІ МИХАЙЛА ТУГАН-БАРАНОВСЬКОГО</t>
  </si>
  <si>
    <t>ДОЧІРНЄ ПІДПРИЄМСТВО "КИЇВСЬКИЙ ОБЛАВТОДОР" ВІДКРИТОГО АКЦІОНЕРНОГО ТОВАРИСТВА "ДЕРЖАВНА АКЦІОНЕРНА КОМПАНІЯ "АВТОМОБІЛЬНІ ДОРОГИ УКРАЇНИ"</t>
  </si>
  <si>
    <t>ДОЧІРНЄ ПІДПРИЄМСТВО "ЛОЗОВАВОДОСЕРВІС" КОМУНАЛЬНОГО ПІДПРИЄМСТВА "ТЕПЛОЕНЕРГО" ЛОЗІВСЬКОЇ МІСЬКОЇ РАДИ ХАРКІВСЬКОЇ ОБЛАСТІ</t>
  </si>
  <si>
    <t>ДОШКІЛЬНИЙ НАВЧАЛЬНИЙ ЗАКЛАД (ЯСЛА-САДОК) №73 "ЧЕРВОНА КВІТОЧКА" КОМБІНОВАНОГО ТИПУ</t>
  </si>
  <si>
    <t>ДП "Дирекція по будівництву об'єктів"</t>
  </si>
  <si>
    <t>ДП "МЕЛІТОПОЛЬСЬКЕ ЛІСОВЕ ГОСПОДАРСТВО"</t>
  </si>
  <si>
    <t>ДП Бердянський морський торговельний порт</t>
  </si>
  <si>
    <t>ДП Східний гірничо-збагачувальний комбінат</t>
  </si>
  <si>
    <t>ДПТНЗ "Луцьке вище професійне училище будівництва та архітектури"</t>
  </si>
  <si>
    <t xml:space="preserve">ДУ "Полтавська обласна фітосанітарна лабораторія" </t>
  </si>
  <si>
    <t>Дар’ївська сільська рада</t>
  </si>
  <si>
    <t>Дата аукціону</t>
  </si>
  <si>
    <t>Дашівський навчально-реабілітаційниц центр Ілінецького району Вінницької обласної Ради</t>
  </si>
  <si>
    <t>Двері та вікна металопластикові</t>
  </si>
  <si>
    <t>Дезінфекційні засоби для закладів дошкільної та загальної середньої освіти</t>
  </si>
  <si>
    <t>Дезінфікуючі засоби: Корзолекс екстра 2л, Стерілокс, 1 л, Біопагдез (миючий комплекс), 1л, Праймдез комбі, 1 л.</t>
  </si>
  <si>
    <t>Делятинський психоневрологічний інтернат</t>
  </si>
  <si>
    <t>Департамент житлово-комунального господарства та будівництва Дніпропетровської обласної державної адміністрації</t>
  </si>
  <si>
    <t>Департамент з питань розвитку житлового фонду та ремонтів комунальної власності Маріупольської міської ради</t>
  </si>
  <si>
    <t>Департамент земельних ресурсів виконавчого органу Київської міської ради (Київської міської державної адміністрації)</t>
  </si>
  <si>
    <t>Департамент комунального господарства та благоустрою Вінницької міської ради</t>
  </si>
  <si>
    <t>Департамент освіти та науки Івано-Франківської міської ради</t>
  </si>
  <si>
    <t>Департамент освіти та науки Хмельницької міської ради</t>
  </si>
  <si>
    <t>Департамент по роботі з активами Маріупольської міської ради</t>
  </si>
  <si>
    <t>Департамент промисловості та розвитку підприємництва виконавчого органу Київської міської ради  (Київської міської державної адміністрації)</t>
  </si>
  <si>
    <t>Департамент транспорту та окремих питань комунального господарства Чернівецької міської ради</t>
  </si>
  <si>
    <t>Деревина (деревина дров’яна непромислового використання 2 та 3 групи)</t>
  </si>
  <si>
    <t>Деревина (дрова паливні 2-ї групи (сосна, вільха))</t>
  </si>
  <si>
    <t>Деревина дров’яна, для непромислового використання І категорії (букова).</t>
  </si>
  <si>
    <t>Державна Акціонерна Холдингова Компанія "АРТЕМ"</t>
  </si>
  <si>
    <t>Державна наукова установа "Центр інноваційних медичних технологій НАН України"</t>
  </si>
  <si>
    <t>Державна реабілітаційна установа "Всеукраїнський центр комплексної реабілітації для осіб з інвалідністю "Віра, надія, любов"</t>
  </si>
  <si>
    <t>Державна установа "Інститут фармакології та токсикології Національної Академії медичних наук України"</t>
  </si>
  <si>
    <t>Державна установа "Білоцерківська виправна колонія (№35)"</t>
  </si>
  <si>
    <t>Державна установа "Дніпропетровська регіональна державна лабораторія Державної служби України з питань безпечності харчових продуктів та захисту споживачів"</t>
  </si>
  <si>
    <t>Державна установа "Казанківська виправна колонія (№93)"</t>
  </si>
  <si>
    <t xml:space="preserve">Державна установа "Полтавський обласний центр контролю та профілактики хвороб Міністерства охорони здоров'я України"
</t>
  </si>
  <si>
    <t>Державна установа "Територіальне медичне об'єднання Міністерства внутрішніх справ України по Луганській області"</t>
  </si>
  <si>
    <t>Державна установа "Хмельницький обласний центр контролю та профілактики хвороб Міністерства охорони здоров'я України"</t>
  </si>
  <si>
    <t>Державна установа "Центр громадського здоров'я Міністерства охорони здоров'я України"</t>
  </si>
  <si>
    <t>Державне авіаційне підприємство "Україна"</t>
  </si>
  <si>
    <t>Державне підприємство "Адміністрація морських портів України" в особі Херсонської філії Державного підприємства "Адміністрація морських портів України" (адміністрації Херсонського морського порту)</t>
  </si>
  <si>
    <t>Державне підприємство "Український державний центр радіочастот"</t>
  </si>
  <si>
    <t>Державне підприємство "Шахтоуправління "Південнодонбаське №1"</t>
  </si>
  <si>
    <t>Державне спеціалізоване підприємство "Центральне підприємство з поводженням з радіоактивними відходами"</t>
  </si>
  <si>
    <t>Державне спеціалізоване підприємство «Чорнобильська АЕС»</t>
  </si>
  <si>
    <t>Державний архів Черкаської області</t>
  </si>
  <si>
    <t>Державний вищий навчальний заклад "Приазовський державний технічний університет"</t>
  </si>
  <si>
    <t>Державний заклад "Дитячий спкціалізований (спеціальний) санаторій "Джерело" Міністерства охорони здоров'я України</t>
  </si>
  <si>
    <t>Державний заклад "Спеціалізований (спеціальний ) санаторій "Гірське повітря"</t>
  </si>
  <si>
    <t>Державний заклад професійної (професійно-технічної) освіти "Харківське вище професійне училище швейного виробництва та побуту"</t>
  </si>
  <si>
    <t>Державний навчальний заклад "Нововолинський центр професійно-технічної освіти"</t>
  </si>
  <si>
    <t>Державний навчальний заклад "Охтирський центр професійно-технічної освіти"</t>
  </si>
  <si>
    <t>Державний науково-дослідний інститут з лабораторної діагностики та ветеринарно-санітарної експертизи</t>
  </si>
  <si>
    <t>Державний професійно-технічний навчальний заклад "Київське вище професійне училище водного транспорту"</t>
  </si>
  <si>
    <t>Деснянська районна в місті Києві державна адміністрація</t>
  </si>
  <si>
    <t>Деталі трубопроводів на системи важливі для безпеки</t>
  </si>
  <si>
    <t>Джерела безперебійного живлення</t>
  </si>
  <si>
    <t>Дизельне паливо</t>
  </si>
  <si>
    <t>Дизельне паливо код ДК021:2015 - 09130000-9 Нафта і дистиляти</t>
  </si>
  <si>
    <t>Дизельне паливо, Бензин А-92</t>
  </si>
  <si>
    <t>Дизельне паливо, Бензин А95</t>
  </si>
  <si>
    <t>Дизельне паливо, бензин</t>
  </si>
  <si>
    <t>Дитячо-юнацька спортивна школа №7 Шевченківського району м. Києва</t>
  </si>
  <si>
    <t xml:space="preserve">Дніпровський міський центр соціальних служб </t>
  </si>
  <si>
    <t>Дніпропетровська область</t>
  </si>
  <si>
    <t>Добровільне комплексне страхування здоров'я на випадок хвороби та медичне страхування «COVID-19» ( ДК 021: 2015 66510000-8 - Страхові послуги)</t>
  </si>
  <si>
    <t xml:space="preserve">Добрянська селищна рада </t>
  </si>
  <si>
    <t>Донецька залізниця</t>
  </si>
  <si>
    <t>Донецька обласна державна адміністрація</t>
  </si>
  <si>
    <t>Донецька область</t>
  </si>
  <si>
    <t>Допорогова закупівля</t>
  </si>
  <si>
    <t>Дослідження на визначення антитіл до ВІЛ – інфекції методом ІФА, код ДК 021:2015: 85111810-1</t>
  </si>
  <si>
    <t>Дошка необрізна,20-25 мм (код ДК 021:2015 03410000-7 Деревина).</t>
  </si>
  <si>
    <t>Дрова для опалення (паливна деревина)  ДК 021:2015 код 03410000-7 «Деревина»</t>
  </si>
  <si>
    <t>Дрогобицьке дочірнє лісогосподарське підприємство ЛГП «Галсільліс»</t>
  </si>
  <si>
    <t>Дроти:Лот 1. Дроти БПВЛ</t>
  </si>
  <si>
    <t>Дроти:Лот 2. Дроти БПВЛЕ</t>
  </si>
  <si>
    <t>Дроти:Лот 3. Дроти ПГВА, ПГВА-Т</t>
  </si>
  <si>
    <t>Дроти:Лот 4. Дроти ПТЛ-200</t>
  </si>
  <si>
    <t>Дроти:Лот 5. Дроти ПТЛЕ-200</t>
  </si>
  <si>
    <t>Дроти:Лот 6. Дроти АМГ</t>
  </si>
  <si>
    <t>Друкована продукція з елементами захисту</t>
  </si>
  <si>
    <t>Діазепам (Diazepam)</t>
  </si>
  <si>
    <t>Електрична енергія</t>
  </si>
  <si>
    <t>Електрична енергія (ДК 021:2015 – 09310000-5 - Електрична енергія), електрична енергія</t>
  </si>
  <si>
    <t>Електрична енергія (Електрична енергія на 2022 рік з оплатою розподілу електричної енергії через постачальника)</t>
  </si>
  <si>
    <t>Електрична енергія (код ДК 021:2015 “Єдиний закупівельний словник” – 09310000-5 - електрична енергія)</t>
  </si>
  <si>
    <t>Електрична енергія 09310000-5 «Електрична енергія»</t>
  </si>
  <si>
    <t>Електрична енергія за кодом ДК 021:2015 – 09310000-5 «Електрична енергія»</t>
  </si>
  <si>
    <t>Електрична енергія як товар з оплатою послуг з передачі та розподілу електричної енергії через Постачальника</t>
  </si>
  <si>
    <t>Електроди</t>
  </si>
  <si>
    <t>Електроди по коду  ДК 021:2015-44310000-6 Вироби з дроту</t>
  </si>
  <si>
    <t xml:space="preserve">Електролізер і касети до електролізної установки (код за ДК 021:2015:42910000-8 Апарати для дистилювання, фільтрування чи ректифікації).  </t>
  </si>
  <si>
    <t>Електронні доступи до Інформаційної системи баз тестів для підготовки до USMLE</t>
  </si>
  <si>
    <t>Електрообладнання до тепловозів 2ТЕ116</t>
  </si>
  <si>
    <t>Електротехнічне обладнання</t>
  </si>
  <si>
    <t xml:space="preserve">Електроінструменти, код 43830000-0 за ДК 021:2015 «Електричні інструменти» </t>
  </si>
  <si>
    <t>Елементи електричних схем, код ДК 021:2015 31220000-4</t>
  </si>
  <si>
    <t>Емульсія бітумна дорожня, відповідний код ЄЗС: ДК 021:2015: 44113300-8  Бітумні матеріали</t>
  </si>
  <si>
    <t>Емульсія бітумна, дорожня,катіонна,швидкорозпадна (Код ДК 021:2015 44110000-4 Конструкційні матеріали)</t>
  </si>
  <si>
    <t>Ентеральне харчування</t>
  </si>
  <si>
    <t>Еритроцити у додатковому розчині, Еритроцити, Плазма свіжозаморожена</t>
  </si>
  <si>
    <t>Жидачівський професійний ліцей</t>
  </si>
  <si>
    <t>Житомирська обласна прокуратура</t>
  </si>
  <si>
    <t>Житомирська область</t>
  </si>
  <si>
    <t>Житомирський дошкільний навчальний заклад №61</t>
  </si>
  <si>
    <t>Жмеринський відокремлений підрозділ Державної установи "Лабораторний центр на залізничному транспорті Міністерства охорони здоров'я України"</t>
  </si>
  <si>
    <t>З ПДВ</t>
  </si>
  <si>
    <t>ЗАКЛАД  ФАХОВОЇ  ПЕРЕДВИЩОЇ  ОСВІТИ  «ПЕРШИЙ  КИЇВСЬКИЙ  ФАХОВИЙ  МЕДИЧНИЙ  КОЛЕДЖ»</t>
  </si>
  <si>
    <t>ЗАКЛАД ДОШКІЛЬНОЇ ОСВІТИ (ДИТЯЧИЙ САДОК) "ЛІСОВА КАЗКА" БОЯРСЬКОЇ МІСЬКОЇ РАДИ</t>
  </si>
  <si>
    <t xml:space="preserve">ЗАКЛАД ДОШКІЛЬНОЇ ОСВІТИ (ЯСЛА-САДОК) КОМБІНОВАНОГО ТИПУ "ІСКОРКА" БОЯРСЬКОЇ МІСЬКОЇ РАДИ </t>
  </si>
  <si>
    <t>ЗАКЛАД ДОШКІЛЬНОЇ ОСВІТИ №16 "ЗЕРНЯТКО" ЗАГАЛЬНОГО РОЗВИТКУ УЖГОРОДСЬКОЇ МІСЬКОЇ РАДИ ЗАКАРПАТСЬКОЇ ОБЛАСТІ</t>
  </si>
  <si>
    <t>ЗАКЛАД ДОШКІЛЬНОЇ ОСВІТИ №30 ЗАГАЛЬНОГО РОЗВИТКУ УЖГОРОДСЬКОЇ МІСЬКОЇ РАДИ ЗАКАРПАТСЬКОЇ ОБЛАСТІ</t>
  </si>
  <si>
    <t>ЗАХІДНЕ МІЖОБЛАСНЕ ТЕРИТОРІАЛЬНЕ ВІДДІЛЕННЯ АНТИМОНОПОЛЬНОГО КОМІТЕТУ УКРАЇНИ</t>
  </si>
  <si>
    <t>Загальноосвітня школа № 10 І-ІІІ ступенів міста Ізмаїл Ізмаїльського району Одеської області</t>
  </si>
  <si>
    <t>Загальноосвітній навчальний заклад "Київський спортивний ліцей-інтернат"</t>
  </si>
  <si>
    <t>Закарпатська область</t>
  </si>
  <si>
    <t>Заклад дошкільної освіти №4 "Берізка" компенсуючого типу Костопільської міської ради</t>
  </si>
  <si>
    <t>Заклад дошкільної освіти(ясла-садок)№11 інтелектуального напрямку Рівненської міської ради</t>
  </si>
  <si>
    <t>Заклад фахової передвищої освіти " Київський міський медичний фаховий коледж"</t>
  </si>
  <si>
    <t>Закупненська селищна рада</t>
  </si>
  <si>
    <t>Закупівля електричної енергії (м. Охтирка)</t>
  </si>
  <si>
    <t>Закупівля електричної енергії (смт. Велика Писарівка)</t>
  </si>
  <si>
    <t>Закупівля товарів, необхідних для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 згідно коду ДК 021:2015: 33140000-3 Медичні матеріали: Півмаска фільтрувальна (Респіратор), рукавички латексні (НК 024:2019 - 57793 Респіратор загального застосування, 56286 Рукавички оглядові / процедурні нестерильні, без пудри).</t>
  </si>
  <si>
    <t>Замовник</t>
  </si>
  <si>
    <t>Запасні частини двигунів (34310000-3 Двигуни та їх частини)</t>
  </si>
  <si>
    <t>Запасні частини до автомобільної техніки</t>
  </si>
  <si>
    <t>Запорізька міська рятувально-водолазна служба</t>
  </si>
  <si>
    <t>Запорізька область</t>
  </si>
  <si>
    <t>Запорізьке комунальне підприємство міського електротранспорту "Запоріжелектротранс"</t>
  </si>
  <si>
    <t>Запорізький державний медичний університет</t>
  </si>
  <si>
    <t>Запчастини до підігрівача рідинного ПЖД-600</t>
  </si>
  <si>
    <t>Заходи з озеленення м. Вільногірська - омолодження та санітарна обрізка дерев.</t>
  </si>
  <si>
    <t>Західне міжрегіональне управління ДПС по роботі з великими платниками податків</t>
  </si>
  <si>
    <t>Зборівська міська рада</t>
  </si>
  <si>
    <t>Звіт створено 1 лютого о 14:55 з використанням http://zakupki.prom.ua</t>
  </si>
  <si>
    <t>Здійснення технічного нагляду за виконанням робіт на об'єкті: «Капітальний ремонт автомобільної дороги загального користування державного значення Т-20-10 Збараж - Підволочиськ на ділянці км 35+000 - км 40+118, Тернопільська область» (71520000-9 – Послуги з нагляду за виконанням будівельних робіт)</t>
  </si>
  <si>
    <t>Зернові культури та картопля</t>
  </si>
  <si>
    <t>Зернові культури та картопля (картопля).</t>
  </si>
  <si>
    <t>Знаряддя</t>
  </si>
  <si>
    <t>Йогурт, кефір</t>
  </si>
  <si>
    <t>КАМ’ЯНЕЦЬ-ПОДІЛЬСЬКИЙ ЛІЦЕЙ  I-III СТУПЕНІВ «СЛАВУТИНКА» ХМЕЛЬНИЦЬКОЇ ОБЛАСНОЇ РАДИ</t>
  </si>
  <si>
    <t>КЗ "Борзнянський ліцей "Чернігівської обласної ради</t>
  </si>
  <si>
    <t>КЗ "Василівський центр культурних послуг" Василівської міської ради Запорізької області</t>
  </si>
  <si>
    <t>КЗ "Мирненський обласний центр соціально-психологічної реабілітації дітей " ЗОР</t>
  </si>
  <si>
    <t>КЗ "Міський спортивний комплекс Азовець"</t>
  </si>
  <si>
    <t>КЗ "ОКДЮСШ"СПАРТАК"ЗОР</t>
  </si>
  <si>
    <t>КЗ "Пологівський обласний центр соціально-психологічної реабілітації дітей"ЗОР</t>
  </si>
  <si>
    <t>КЗ "Тиврівський науковий ліцей"  Вінницької обласної ради</t>
  </si>
  <si>
    <t>КЗ "Центр надання соціальних послуг Золочівської міської ради Золочівського району Львівської області"</t>
  </si>
  <si>
    <t>КЗ Дошкільної освіти (дитячий садок) №4 загального розвитку "Перлинка" Бердянської міської ради Запорізької області</t>
  </si>
  <si>
    <t>КЗ ЛОР "Созанський психоневрологічний інтернат"</t>
  </si>
  <si>
    <t>КЗ НВО "СПЕЦІАЛІЗОВАНИЙ ЗАГАЛЬНООСВІТНІЙ НАВЧАЛЬНИЙ ЗАКЛАД І СТУПЕНЯ "ГАРМОНІЯ" - ГІМНАЗІЯ ІМ.Т.ШЕВЧЕНКА - ЦЕНТР ПОЗАШКІЛЬНОГО ВИХОВАННЯ "КОНТАКТ" КІРОВОГРАДСЬКОЇ МІСЬКОЇ РАДИ КІРОВОГРАДСЬКОЇ ОБЛАСТІ</t>
  </si>
  <si>
    <t>КЗ Херсонської обласної ради "Каховский геріатричний пансіонат"</t>
  </si>
  <si>
    <t>КЗЛОР "Лешківський психоневрологічний інтернат"</t>
  </si>
  <si>
    <t>КНП "ВОКФПЦ" ВОР</t>
  </si>
  <si>
    <t>КНП "МЕНСЬКИЙ ЦЕНТР ПМСД"</t>
  </si>
  <si>
    <t>КНП "Психіатрична лікарня м.Маріуполь"</t>
  </si>
  <si>
    <t>КНП Бердянської міської ради «Бердянське територіальне медичне об’єднання»</t>
  </si>
  <si>
    <t>КНП Болехівська центральна міська лікарня</t>
  </si>
  <si>
    <t>КНП ЛОР "Львівський обласний клінічний перинатальний центр"</t>
  </si>
  <si>
    <t>КО "Комунальний заклад П’ятихатський геріатричний пансіонат ДОР"</t>
  </si>
  <si>
    <t>КОМУНАЛЬНА УСТАНОВА  «ЦЕНТР ФІНАНСОВОГО та МАТЕРІАЛЬНО-ТЕХНІЧНОГО ЗАБЕЗПЕЧЕННЯ ОСВІТНІХ ЗАКЛАДІВ» МОЛОЧАНСЬКОЇ МІСЬКОЇ РАДИ ЗАПОРІЗЬКОЇ ОБЛАСТІ</t>
  </si>
  <si>
    <t>КОМУНАЛЬНА УСТАНОВА "БІЛИЦЬКИЙ БУДИНОК-ІНТЕРНАТ ДЛЯ ГРОМАДЯН ПОХИЛОГО ВІКУ ТА ОСІБ З ІНВАЛІДНІСТЮ"</t>
  </si>
  <si>
    <t>КОМУНАЛЬНА УСТАНОВА "ГЕРІАТРИЧНИЙ ДІМ МИЛОСЕРДЯ ІМЕНІ СВЯТОГО ЦІЛИТЕЛЯ ПАНТЕЛЕЙМОНА"</t>
  </si>
  <si>
    <t>КОМУНАЛЬНА УСТАНОВА "ДРУЖКІВСЬКИЙ ДИТЯЧИЙ БУДИНОК-ІНТЕРНАТ"</t>
  </si>
  <si>
    <t xml:space="preserve">КОМУНАЛЬНА УСТАНОВА "КОМИШІВСЬКИЙ ПСИХОНЕВРОЛОГІЧНИЙ ІНТЕРНАТ"  </t>
  </si>
  <si>
    <t>КОМУНАЛЬНА УСТАНОВА "ОРЛОВСЬКИЙ ПСИХОНЕВРОЛОГІЧНИЙ ІНТЕРНАТ" ЗАПОРІЗЬКОЇ ОБЛАСНОЇ РАДИ</t>
  </si>
  <si>
    <t>КОМУНАЛЬНА УСТАНОВА "СУМСЬКИЙ ОБЛАСНИЙ ФОНД ПІДТРИМКИ ПІДПРИЄМНИЦТВА" СУМСЬКОЇ ОБЛАСНОЇ РАДИ</t>
  </si>
  <si>
    <t>КОМУНАЛЬНА УСТАНОВА ПІСКО-РАДЬКІВСЬКИЙ ПСИХОНЕВРОЛОГІЧНИЙ ІНТЕРНАТ</t>
  </si>
  <si>
    <t>КОМУНАЛЬНЕ НЕКОМЕРЦІЙНЕ ПІДПРИЄМСТВО   «СЄВЄРОДОНЕЦЬКА МІСЬКА БАГАТОПРОФІЛЬНА ЛІКАРНЯ» СЄВЄРОДОНЕЦЬКОЇ МІСЬКОЇ РАДИ</t>
  </si>
  <si>
    <t>КОМУНАЛЬНЕ НЕКОМЕРЦІЙНЕ ПІДПРИЄМСТВО " БАРИШІВСЬКА БАГАТОПРОФІЛЬНА ЛІКАРНЯ" БАРИШІВСЬКОЇ СЕЛИЩНОЇ РАДИ КИЇВСЬКОЇ ОБЛАСТІ</t>
  </si>
  <si>
    <t>КОМУНАЛЬНЕ НЕКОМЕРЦІЙНЕ ПІДПРИЄМСТВО " ВОЛОЧИСЬКА БАГАТОПРОФІЛЬНА ЛІКАРНЯ " ВОЛОЧИСЬКОЇ МІСЬКОЇ РАДИ ХМЕЛЬНИЦЬКОГО РАЙОНУ ХМЕЛЬНИЦЬКОЇ ОБЛАСТІ</t>
  </si>
  <si>
    <t>КОМУНАЛЬНЕ НЕКОМЕРЦІЙНЕ ПІДПРИЄМСТВО "ІВАНО-ФРАНКІВСЬКИЙ ОБЛАСНИЙ КЛІНІЧНИЙ КАРДІОЛОГІЧНИЙ ЦЕНТР ІВАНО-ФРАНКІВСЬКОЇ ОБЛАСНОЇ РАДИ"</t>
  </si>
  <si>
    <t>КОМУНАЛЬНЕ НЕКОМЕРЦІЙНЕ ПІДПРИЄМСТВО "ІВАНО-ФРАНКІВСЬКИЙ ОБЛАСНИЙ ПЕРИНАТАЛЬНИЙ ЦЕНТР ІВАНО-ФРАНКІВСЬКОЇ ОБЛАСНОЇ РАДИ"</t>
  </si>
  <si>
    <t>КОМУНАЛЬНЕ НЕКОМЕРЦІЙНЕ ПІДПРИЄМСТВО "БОБРОВИЦЬКИЙ ЦЕНТР ПЕРВИННОЇ МЕДИКО-САНІТАРНОЇ ДОПОМОГИ" БОБРОВИЦЬКОЇ МІСЬКОЇ РАДИ</t>
  </si>
  <si>
    <t>КОМУНАЛЬНЕ НЕКОМЕРЦІЙНЕ ПІДПРИЄМСТВО "БОРЩІВСЬКА МІСЬКА ЛІКАРНЯ" БОРЩІВСЬКОЇ МІСЬКОЇ РАДИ</t>
  </si>
  <si>
    <t>КОМУНАЛЬНЕ НЕКОМЕРЦІЙНЕ ПІДПРИЄМСТВО "ВІННИЦЬКА  КЛІНІЧНА  БАГАТОПРОФІЛЬНА ЛІКАРНЯ" ВІННИЦЬКОЇ МІСЬКОЇ РАДИ</t>
  </si>
  <si>
    <t>КОМУНАЛЬНЕ НЕКОМЕРЦІЙНЕ ПІДПРИЄМСТВО "ВЕЛИКОПИСАРІВСЬКА ЛІКАРНЯ" ВЕЛИКОПИСАРІВСЬКОЇ СЕЛИЩНОЇ РАДИ</t>
  </si>
  <si>
    <t>КОМУНАЛЬНЕ НЕКОМЕРЦІЙНЕ ПІДПРИЄМСТВО "ВОЛОВЕЦЬКА ЦЕНТРАЛЬНА ЛІКАРНЯ ВОЛОВЕЦЬКОЇ СЕЛИЩНОЇ РАДИ"</t>
  </si>
  <si>
    <t xml:space="preserve">КОМУНАЛЬНЕ НЕКОМЕРЦІЙНЕ ПІДПРИЄМСТВО "Варвинська лікарня" Варвинської селищної ради Прилуцького району Чернігівської області
</t>
  </si>
  <si>
    <t>КОМУНАЛЬНЕ НЕКОМЕРЦІЙНЕ ПІДПРИЄМСТВО "ДЕЛЯТИНСЬКИЙ ЦЕНТР ПЕРВИННОЇ МЕДИКО-САНІТАРНОЇ ДОПОМОГИ" ДЕЛЯТИНСЬКОЇ СЕЛИЩНОЇ РАДИ</t>
  </si>
  <si>
    <t>КОМУНАЛЬНЕ НЕКОМЕРЦІЙНЕ ПІДПРИЄМСТВО "ЗОЛОТОНІСЬКА БАГАТОПРОФІЛЬНА ЛІКАРНЯ" ЗОЛОТОНІСЬКОЇ МІСЬКОЇ РАДИ</t>
  </si>
  <si>
    <t>КОМУНАЛЬНЕ НЕКОМЕРЦІЙНЕ ПІДПРИЄМСТВО "КИЇВСЬКА МІСЬКА КЛІНІЧНА ЛІКАРНЯ №5" ВИКОНАВЧОГО ОРГАНУ КИЇВСЬКОЇ МІСЬКОЇ РАДИ (КИЇВСЬКОЇ МІСЬКОЇ ДЕРЖАВНОЇ АДМІНІСТРАЦІЇ)</t>
  </si>
  <si>
    <t>КОМУНАЛЬНЕ НЕКОМЕРЦІЙНЕ ПІДПРИЄМСТВО "КИЇВСЬКА МІСЬКА КЛІНІЧНА ЛІКАРНЯ №6" ВИКОНАВЧОГО ОРГАНУ КИЇВСЬКОЇ МІСЬКОЇ РАДИ (КИЇВСЬКОЇ МІСЬКОЇ ДЕРЖАВНОЇ АДМІНІСТРАЦІЇ)</t>
  </si>
  <si>
    <t xml:space="preserve">КОМУНАЛЬНЕ НЕКОМЕРЦІЙНЕ ПІДПРИЄМСТВО "КИЇВСЬКИЙ МІСЬКИЙ ПОЛОГОВИЙ БУДИНОК № 2" ВИКОНАВЧОГО ОРГАНУ КИЇВСЬКОЇ МІСЬКОЇ РАДИ (КИЇВСЬКОЇ МІСЬКОЇ ДЕРЖАВНОЇ АДМІНІСТРАЦІЇ)
</t>
  </si>
  <si>
    <t>КОМУНАЛЬНЕ НЕКОМЕРЦІЙНЕ ПІДПРИЄМСТВО "КЛІНІЧНА ЛІКАРНЯ №5" СУМСЬКОЇ МІСЬКОЇ РАДИ</t>
  </si>
  <si>
    <t>КОМУНАЛЬНЕ НЕКОМЕРЦІЙНЕ ПІДПРИЄМСТВО "КОЛОМИЙСЬКА ЦЕНТРАЛЬНА РАЙОННА ЛІКАРНЯ" КОЛОМИЙСЬКОЇ МІСЬКОЇ РАДИ</t>
  </si>
  <si>
    <t>КОМУНАЛЬНЕ НЕКОМЕРЦІЙНЕ ПІДПРИЄМСТВО "КОНСУЛЬТАТИВНО-ДІАГНОСТИЧНИЙ ЦЕНТР" ГОЛОСІЇВСЬКОГО РАЙОНУ М. КИЄВА</t>
  </si>
  <si>
    <t>КОМУНАЛЬНЕ НЕКОМЕРЦІЙНЕ ПІДПРИЄМСТВО "КРАСНОКУТСЬКА ЦЕНТРАЛЬНА РАЙОННА ЛІКАРНЯ" КРАСНОКУТСЬКОЇ СЕЛИЩНОЇ РАДИ</t>
  </si>
  <si>
    <t>КОМУНАЛЬНЕ НЕКОМЕРЦІЙНЕ ПІДПРИЄМСТВО "КРИВОРІЗЬКА МІСЬКА ЛІКАРНЯ №3" КРИВОРІЗЬКОЇ МІСЬКОЇ РАДИ</t>
  </si>
  <si>
    <t>КОМУНАЛЬНЕ НЕКОМЕРЦІЙНЕ ПІДПРИЄМСТВО "МІСЬКА КЛІНІЧНА ЛІКАРНЯ № 16" ДНІПРОВСЬКОЇ МІСЬКОЇ РАДИ</t>
  </si>
  <si>
    <t>КОМУНАЛЬНЕ НЕКОМЕРЦІЙНЕ ПІДПРИЄМСТВО "МІСЬКА КЛІНІЧНА ЛІКАРНЯ №13" ХАРКІВСЬКОЇ МІСЬКОЇ РАДИ</t>
  </si>
  <si>
    <t>КОМУНАЛЬНЕ НЕКОМЕРЦІЙНЕ ПІДПРИЄМСТВО "МІСЬКА ПОЛІКЛІНІКА №24" ХАРКІВСЬКОЇ МІСЬКОЇ РАДИ</t>
  </si>
  <si>
    <t>КОМУНАЛЬНЕ НЕКОМЕРЦІЙНЕ ПІДПРИЄМСТВО "МІСЬКИЙ КЛІНІЧНИЙ ПОЛОГОВИЙ БУДИНОК №7" ХАРКІВСЬКОЇ МІСЬКОЇ РАДИ</t>
  </si>
  <si>
    <t>КОМУНАЛЬНЕ НЕКОМЕРЦІЙНЕ ПІДПРИЄМСТВО "МЕНСЬКА МІСЬКА ЛІКАРНЯ"</t>
  </si>
  <si>
    <t>КОМУНАЛЬНЕ НЕКОМЕРЦІЙНЕ ПІДПРИЄМСТВО "МИКОЛАЇВСЬКА ОБЛАСНА КЛІНІЧНА ЛІКАРНЯ" МИКОЛАЇВСЬКОЇ ОБЛАСНОЇ РАДИ</t>
  </si>
  <si>
    <t>КОМУНАЛЬНЕ НЕКОМЕРЦІЙНЕ ПІДПРИЄМСТВО "МИКОЛАЇВСЬКИЙ РЕГІОНАЛЬНИЙ ФТИЗІОПУЛЬМОНОЛОГІЧНИЙ МЕДИЧНИЙ ЦЕНТР" МИКОЛАЇВСЬКОЇ ОБЛАСНОЇ РАДИ</t>
  </si>
  <si>
    <t>КОМУНАЛЬНЕ НЕКОМЕРЦІЙНЕ ПІДПРИЄМСТВО "НОВОГРАД-ВОЛИНСЬКЕ МІСЬКРАЙОННЕ ТЕРИТОРІАЛЬНЕ МЕДИЧНЕ ОБ'ЄДНАННЯ"</t>
  </si>
  <si>
    <t>КОМУНАЛЬНЕ НЕКОМЕРЦІЙНЕ ПІДПРИЄМСТВО "ОБЛАСНИЙ КЛІНІЧНИЙ ЦЕНТР ЕКСТРЕНОЇ МЕДИЧНОЇ ДОПОМОГИ ТА МЕДИЦИНИ КАТАСТРОФ ІВАНО-ФРАНКІВСЬКОЇ ОБЛАСНОЇ РАДИ"</t>
  </si>
  <si>
    <t>КОМУНАЛЬНЕ НЕКОМЕРЦІЙНЕ ПІДПРИЄМСТВО "ОБЛАСНИЙ ПЕРИНАТАЛЬНИЙ ЦЕНТР М. КРАМАТОРСЬК"</t>
  </si>
  <si>
    <t>КОМУНАЛЬНЕ НЕКОМЕРЦІЙНЕ ПІДПРИЄМСТВО "ОБЛАСНИЙ ЦЕНТР ЕКСТРЕНОЇ МЕДИЧНОЇ ДОПОМОГИ ТА МЕДИЦИНИ КАТАСТРОФ"</t>
  </si>
  <si>
    <t>КОМУНАЛЬНЕ НЕКОМЕРЦІЙНЕ ПІДПРИЄМСТВО "ОБЛАСНИЙ ЦЕНТР ЕКСТРЕНОЇ МЕДИЧНОЇ ДОПОМОГИ ТА МЕДИЦИНИ КАТАСТРОФ" ЧЕРНІГІВСЬКОЇ ОБЛАСНОЇ РАДИ</t>
  </si>
  <si>
    <t>КОМУНАЛЬНЕ НЕКОМЕРЦІЙНЕ ПІДПРИЄМСТВО "ОДЕСЬКА ОБЛАСНА ДИТЯЧА КЛІНІЧНА ЛІКАРНЯ" ОДЕСЬКОЇ ОБЛАСНОЇ РАДИ"</t>
  </si>
  <si>
    <t>КОМУНАЛЬНЕ НЕКОМЕРЦІЙНЕ ПІДПРИЄМСТВО "ПОЛОГОВИЙ БУДИНОК" РІВНЕНСЬКОЇ МІСЬКОЇ РАДИ</t>
  </si>
  <si>
    <t>КОМУНАЛЬНЕ НЕКОМЕРЦІЙНЕ ПІДПРИЄМСТВО "ПРИКАРПАТСЬКИЙ НАРКОЛОГІЧНИЙ ЦЕНТР ІВАНО-ФРАНКІВСЬКОЇ ОБЛАСНОЇ РАДИ"</t>
  </si>
  <si>
    <t>КОМУНАЛЬНЕ НЕКОМЕРЦІЙНЕ ПІДПРИЄМСТВО "СМІЛЯНСЬКА МІСЬКА ЛІКАРНЯ" СМІЛЯНСЬКОЇ МІСЬКОЇ РАДИ</t>
  </si>
  <si>
    <t>КОМУНАЛЬНЕ НЕКОМЕРЦІЙНЕ ПІДПРИЄМСТВО "ХЕРСОНСЬКА ДИТЯЧА ОБЛАСНА КЛІНІЧНА ЛІКАРНЯ" ХЕРСОНСЬКОЇ ОБЛАСНОЇ РАДИ</t>
  </si>
  <si>
    <t>КОМУНАЛЬНЕ НЕКОМЕРЦІЙНЕ ПІДПРИЄМСТВО "ХМЕЛЬНИЦЬКА ОБЛАСНА ДИТЯЧА ЛІКАРНЯ" ХМЕЛЬНИЦЬКОЇ ОБЛАСНОЇ РАДИ</t>
  </si>
  <si>
    <t>КОМУНАЛЬНЕ НЕКОМЕРЦІЙНЕ ПІДПРИЄМСТВО "ХМЕЛЬНИЦЬКИЙ ОБЛАСНИЙ ПРОТИПУХЛИННИЙ ЦЕНТР" ХМЕЛЬНИЦЬКОЇ ОБЛАСНОЇ РАДИ</t>
  </si>
  <si>
    <t>КОМУНАЛЬНЕ НЕКОМЕРЦІЙНЕ ПІДПРИЄМСТВО "ЦЕНТР ПЕРВИННОЇ МЕДИКО-САНІТАРНОЇ ДОПОМОГИ СТАНИЧНО-ЛУГАНСЬКОЇ СЕЛИЩНОЇ ТЕРИТОРІАЛЬНОЇ ГРОМАДИ"</t>
  </si>
  <si>
    <t>КОМУНАЛЬНЕ НЕКОМЕРЦІЙНЕ ПІДПРИЄМСТВО "ЦЕНТР ПЕРВИННОЇ МЕДИКО-САНІТАРНОЇ ДОПОМОГИ" ЗАВОДСЬКОЇ МІСЬКОЇ РАДИ</t>
  </si>
  <si>
    <t>КОМУНАЛЬНЕ НЕКОМЕРЦІЙНЕ ПІДПРИЄМСТВО "ЦЕНТР ПЕРВИННОЇ МЕДИКО-САНІТАРНОЇ ДОПОМОГИ" СТАВИЩЕНСЬКОЇ СЕЛИЩНОЇ РАДИ БІЛОЦЕРКІВСЬКОГО РАЙОНУ КИЇВСЬКОЇ ОБЛАСТІ</t>
  </si>
  <si>
    <t>КОМУНАЛЬНЕ НЕКОМЕРЦІЙНЕ ПІДПРИЄМСТВО "ЧЕРКАСЬКА ОБЛАСНА ЛІКАРНЯ ЧЕРКАСЬКОЇ ОБЛАСНОЇ РАДИ"</t>
  </si>
  <si>
    <t>КОМУНАЛЬНЕ НЕКОМЕРЦІЙНЕ ПІДПРИЄМСТВО "ЧЕРКАСЬКИЙ ОБЛАСНИЙ КАРДІОЛОГІЧНИЙ ЦЕНТР ЧЕРКАСЬКОЇ ОБЛАСНОЇ РАДИ"</t>
  </si>
  <si>
    <t>КОМУНАЛЬНЕ НЕКОМЕРЦІЙНЕ ПІДПРИЄМСТВО "ЧЕРНІГІВСЬКА ОБЛАСНА ЛІКАРНЯ" ЧЕРНІГІВСЬКОЇ ОБЛАСНОЇ РАДИ</t>
  </si>
  <si>
    <t>КОМУНАЛЬНЕ НЕКОМЕРЦІЙНЕ ПІДПРИЄМСТВО "ЧУДНІВСЬКА ЛІКАРНЯ" ЧУДНІВСЬКОЇ МІСЬКОЇ РАДИ ЖИТОМИРСЬКОЇ ОБЛАСТІ</t>
  </si>
  <si>
    <t>КОМУНАЛЬНЕ НЕКОМЕРЦІЙНЕ ПІДПРИЄМСТВО «КЛІНІЧНА ЛІКАРНЯ СВЯТОГО ПАНТЕЛЕЙМОНА» СУМСЬКОЇ МІСЬКОЇ РАДИ</t>
  </si>
  <si>
    <t>КОМУНАЛЬНЕ НЕКОМЕРЦІЙНЕ ПІДПРИЄМСТВО «ОБЛАСНИЙ КЛІНІЧНИЙ ПРОТИТУБЕРКУЛЬОЗНИЙ ДИСПАНСЕР»</t>
  </si>
  <si>
    <t>КОМУНАЛЬНЕ НЕКОМЕРЦІЙНЕ ПІДПРИЄМСТВО ВЕЛИКОБЕРЕЗОВИЦЬКОЇ СЕЛИЩНОЇ РАДИ "ТЕРНОПІЛЬСЬКИЙ РАЙОННИЙ ЦЕНТР ПЕРВИННОЇ МЕДИКО-САНІТАРНОЇ ДОПОМОГИ"</t>
  </si>
  <si>
    <t>КОМУНАЛЬНЕ НЕКОМЕРЦІЙНЕ ПІДПРИЄМСТВО КАМ'ЯНСЬКОЇ МІСЬКОЇ РАДИ "ЦЕНТР ПЕРВИННОЇ МЕДИКО-САНІТАРНОЇ ДОПОМОГИ №3"</t>
  </si>
  <si>
    <t>КОМУНАЛЬНЕ НЕКОМЕРЦІЙНЕ ПІДПРИЄМСТВО КИЇВСЬКОЇ ОБЛАСНОЇ РАДИ "КИЇВСЬКА ОБЛАСНА ЛІКАРНЯ"</t>
  </si>
  <si>
    <t>КОМУНАЛЬНЕ НЕКОМЕРЦІЙНЕ ПІДПРИЄМСТВО МАРІУПОЛЬСЬКОЇ МІСЬКОЇ РАДИ "ЦЕНТР ПЕРВИННОЇ МЕДИКО-САНІТАРНОЇ ДОПОМОГИ №2 М.МАРІУПОЛЯ"</t>
  </si>
  <si>
    <t>КОМУНАЛЬНЕ НЕКОМЕРЦІЙНЕ ПІДПРИЄМСТВО МАРІУПОЛЬСЬКОЇ МІСЬКОЇ РАДИ "ЦЕНТР ПЕРВИННОЇ МЕДИКО-САНІТАРНОЇ ДОПОМОГИ №5 М.МАРІУПОЛЯ"</t>
  </si>
  <si>
    <t>КОМУНАЛЬНЕ НЕКОМЕРЦІЙНЕ ПІДПРИЄМСТВО МИКОЛАЇВСЬКОЇ МІСЬКОЇ РАДИ "МІСЬКА ЛІКАРНЯ №5"</t>
  </si>
  <si>
    <t>КОМУНАЛЬНЕ НЕКОМЕРЦІЙНЕ ПІДПРИЄМСТВО ХАРКІВСЬКОЇ ОБЛАСНОЇ РАДИ "ОБЛАСНА КЛІНІЧНА НАРКОЛОГІЧНА ЛІКАРНЯ"</t>
  </si>
  <si>
    <t>КОМУНАЛЬНЕ НЕКОМЕРЦІЙНЕ ПІДПРИЄМСТВО ШУМСЬКОЇ МІСЬКОЇ РАДИ "ШУМСЬКИЙ МІСЬКИЙ ЦЕНТР ПЕРВИННОЇ МЕДИКО-САНІТАРНОЇ ДОПОМОГИ"</t>
  </si>
  <si>
    <t>КОМУНАЛЬНЕ НЕКОМЕРЦІЙНЕ ПІДПРИЕМСТВО "ЛІКУВАЛЬНО- ПРОФІЛАКТИЧНА УСТАНОВА МІЖГІРСЬКА РАЙОННА ЛІКАРНЯ МІЖГІРСЬКОЇ СЕЛИЩНОЇ  РАДИ ЗАКАРПАТСЬКОЇ ОБЛАСТІ"</t>
  </si>
  <si>
    <t>КОМУНАЛЬНЕ ПІДПРИЄМСТВО  "ДНІПРОПЕТРОВСЬКА ОБЛАСНА КЛІНІЧНА ОФТАЛЬМОЛОГІЧНА ЛІКАРНЯ"</t>
  </si>
  <si>
    <t>КОМУНАЛЬНЕ ПІДПРИЄМСТВО " ВОДОКАНАЛ "</t>
  </si>
  <si>
    <t>КОМУНАЛЬНЕ ПІДПРИЄМСТВО "БЛАГОУСТРІЙ" М.ХАРКОВА"</t>
  </si>
  <si>
    <t>КОМУНАЛЬНЕ ПІДПРИЄМСТВО "БЛАГОУСТРІЙ" НЕРУБАЙСЬКОЇ СІЛЬСЬКОЇ РАДИ БІЛЯЇВСЬКОГО РАЙОНУ ОДЕСЬКОЇ ОБЛАСТІ</t>
  </si>
  <si>
    <t>КОМУНАЛЬНЕ ПІДПРИЄМСТВО "БОЯРСЬКЕ ГОЛОВНЕ ВИРОБНИЧЕ УПРАВЛІННЯ ЖИТЛОВО-КОМУНАЛЬНОГО ГОСПОДАРСТВА" БОЯРСЬКОЇ МІСЬКОЇ РАДИ</t>
  </si>
  <si>
    <t>КОМУНАЛЬНЕ ПІДПРИЄМСТВО "ВОДОГІН"</t>
  </si>
  <si>
    <t>КОМУНАЛЬНЕ ПІДПРИЄМСТВО "ГАЙСИНВОДОКАНАЛ"</t>
  </si>
  <si>
    <t>КОМУНАЛЬНЕ ПІДПРИЄМСТВО "ДІЛЬНИЦЯ ПО РЕМОНТУ, УТРИМАННЮ АВТОШЛЯХІВ ТА СПОРУДЖЕНЬ НА НИХ"</t>
  </si>
  <si>
    <t>КОМУНАЛЬНЕ ПІДПРИЄМСТВО "ДИТЯЧА ЛІКАРНЯ ІМЕНІ В.Й. БАШЕКА" ЖИТОМИРСЬКОЇ МІСЬКОЇ РАДИ</t>
  </si>
  <si>
    <t>КОМУНАЛЬНЕ ПІДПРИЄМСТВО "ДНІПРОПЕТРОВСЬКИЙ ОБЛАСНИЙ СПЕЦІАЛІЗОВАНИЙ РЕАБІЛІТАЦІЙНИЙ ЦЕНТР "СОЛОНИЙ ЛИМАН" ДНІПРОПЕТРОВСЬКОЇ ОБЛАСНОЇ РАДИ"</t>
  </si>
  <si>
    <t>КОМУНАЛЬНЕ ПІДПРИЄМСТВО "ЗМІЇВ - СЕРВІС" ЗМІЇВСЬКОЇ МІСЬКОЇ РАДИ ЧУГУЇВСЬКОГО РАЙОНУ ХАРКІВСЬКОЇ ОБЛАСТІ</t>
  </si>
  <si>
    <t xml:space="preserve">КОМУНАЛЬНЕ ПІДПРИЄМСТВО "ЗООКОНТРОЛЬ" ДНІПРОВСЬКОЇ МІСЬКОЇ РАДИ </t>
  </si>
  <si>
    <t>КОМУНАЛЬНЕ ПІДПРИЄМСТВО "КЕРУЮЧА КОМПАНІЯ З ОБСЛУГОВУВАННЯ ЖИТЛОВОГО ФОНДУ ОБОЛОНСЬКОГО РАЙОНУ М. КИЄВА"</t>
  </si>
  <si>
    <t>КОМУНАЛЬНЕ ПІДПРИЄМСТВО "КЕРУЮЧА КОМПАНІЯ НОВОСІЛКИ" ЧАБАНІВСЬКОЇ СЕЛИЩНОЇ РАДИ ФАСТІВСЬКОГО РАЙОНУ КИЇВСЬКОЇ ОБЛАСТІ</t>
  </si>
  <si>
    <t>КОМУНАЛЬНЕ ПІДПРИЄМСТВО "КИЇВПАСТРАНС"</t>
  </si>
  <si>
    <t>КОМУНАЛЬНЕ ПІДПРИЄМСТВО "КРЕМЕНЧУКВОДОКАНАЛ" КРЕМЕНЧУЦЬКОЇ МІСЬКОЇ РАДИ КРЕМЕНЧУЦЬКОГО РАЙОНУ ПОЛТАВСЬКОЇ ОБЛАСТІ</t>
  </si>
  <si>
    <t>КОМУНАЛЬНЕ ПІДПРИЄМСТВО "ЛІКАРНЯ №2 ІМ. В.П.ПАВЛУСЕНКА" ЖИТОМИРСЬКОЇ МІСЬКОЇ РАДИ</t>
  </si>
  <si>
    <t>КОМУНАЛЬНЕ ПІДПРИЄМСТВО "ЛУЦЬКА ЦЕНТРАЛЬНА РАЙОННА ЛІКАРНЯ" ПІДГАЙЦІВСЬКОЇ СІЛЬСЬКОЇ РАДИ</t>
  </si>
  <si>
    <t>КОМУНАЛЬНЕ ПІДПРИЄМСТВО "ЛУЦЬКЕ ЕЛЕКТРОТЕХНІЧНЕ ПІДПРИЄМСТВО-ЛУЦЬКСВІТЛО"</t>
  </si>
  <si>
    <t>КОМУНАЛЬНЕ ПІДПРИЄМСТВО "МУНІЦИПАЛЬНА КОМПАНІЯ ПОВОДЖЕННЯ З ВІДХОДАМИ" ХАРКІВСЬКОЇ МІСЬКОЇ РАДИ</t>
  </si>
  <si>
    <t>КОМУНАЛЬНЕ ПІДПРИЄМСТВО "НОВОМОСКОВСЬКА ЦЕНТРАЛЬНА РЕГІОНАЛЬНА ЛІКАРНЯ ІНТЕНСИВНОГО ЛІКУВАННЯ"</t>
  </si>
  <si>
    <t xml:space="preserve">КОМУНАЛЬНЕ ПІДПРИЄМСТВО "ОБ'ЄДНАНЕ АВТОГОСПОДАРСТВО ЗАКЛАДІВ ТА УСТАНОВ ОХОРОНИ ЗДОРОВ'Я ПОЛТАВСЬКОЇ ОБЛАСТІ ПОЛТАВСЬКОЇ ОБЛАСНОЇ РАДИ" </t>
  </si>
  <si>
    <t>КОМУНАЛЬНЕ ПІДПРИЄМСТВО "ПАРК КУЛЬТУРИ І ВІДПОЧИНКУ ІМЕНІ БОГДАНА ХМЕЛЬНИЦЬКОГО" КРИВОРІЗЬКОЇ МІСЬКОЇ РАДИ</t>
  </si>
  <si>
    <t>КОМУНАЛЬНЕ ПІДПРИЄМСТВО "СЄВЄРОДОНЕЦЬКВОДОКАНАЛ"</t>
  </si>
  <si>
    <t>КОМУНАЛЬНЕ ПІДПРИЄМСТВО "СЛАВУТА-СЕРВІС" СЛАВУТСЬКОЇ МІСЬКОЇ РАДИ</t>
  </si>
  <si>
    <t>КОМУНАЛЬНЕ ПІДПРИЄМСТВО "ЦЕНТР ПЕРВИННОЇ МЕДИКО-САНІТАРНОЇ ДОПОМОГИ М.ЧЕРВОНОГРАДА"</t>
  </si>
  <si>
    <t>КОМУНАЛЬНЕ ПІДПРИЄМСТВО "ЦЕНТР ПЕРВИННОЇ МЕДИКО-САНІТАРНОЇ ДОПОМОГИ №2 ПОЛТАВСЬКОЇ МІСЬКОЇ РАДИ"</t>
  </si>
  <si>
    <t>КОМУНАЛЬНЕ ПІДПРИЄМСТВО "ЦЕНТРАЛІЗОВАНА ЗАКУПІВЕЛЬНА ОРГАНІЗАЦІЯ ОДЕСЬКОЇ ОБЛАСНОЇ РАДИ"</t>
  </si>
  <si>
    <t>КОМУНАЛЬНЕ ПІДПРИЄМСТВО ЕЛЕКТРОМЕРЕЖ ЗОВНІШНЬОГО ОСВІТЛЕННЯ "ЗАПОРІЖМІСЬКСВІТЛО"</t>
  </si>
  <si>
    <t>КОМУНАЛЬНЕ ПІДПРИЄМСТВО ПО УТРИМАННЮ ЗЕЛЕНИХ НАСАДЖЕНЬ ДАРНИЦЬКОГО РАЙОНУ М. КИЄВА</t>
  </si>
  <si>
    <t>КОМУНАЛЬНЕ ПІДПРИЄМСТВО ПО УТРИМАННЮ ЗЕЛЕНИХ НАСАДЖЕНЬ ПОДІЛЬСЬКОГО РАЙОНУ М. КИЄВА</t>
  </si>
  <si>
    <t>КОМУНАЛЬНЕ ПІДПРИЄМСТВО ЩАСТИНСЬКОЇ МІСЬКОЇ ВІЙСЬКОВО-ЦИВІЛЬНОЇ АДМІНІСТРАЦІЇ ЩАСТИНСЬКОГО РАЙОНУ ЛУГАНСЬКОЇ ОБЛАСТІ "СВІТАНОК"</t>
  </si>
  <si>
    <t>КОМУНАЛЬНЕ ПІДРЯДНЕ СПЕЦІАЛІЗОВАНЕ ПІДПРИЄМСТВО ПО РЕМОНТУ І БУДІВНИЦТВУ АВТОШЛЯХІВ М. ХАРКОВА "ШЛЯХРЕМБУД"</t>
  </si>
  <si>
    <t>КОМУНАЛЬНИЙ ДОШКІЛЬНИЙ НАВЧАЛЬНИЙ ЗАКЛАД "ЯСЛА-САДОК №104 "ВЕРБИНКА" МАРІУПОЛЬСЬКОЇ МІСЬКОЇ РАДИ ДОНЕЦЬКОЇ ОБЛАСТІ"</t>
  </si>
  <si>
    <t>КОМУНАЛЬНИЙ ЗАКЛАД "ВИШНЕВИЙ ЗАКЛАД ДОШКІЛЬНОЇ ОСВІТИ "КОЛОБОК" ВИШНЕВОЇ МІСЬКОЇ РАДИ БУЧАНСЬКОГО РАЙОНУ КИЇВСЬКОЇ ОБЛАСТІ</t>
  </si>
  <si>
    <t>КОМУНАЛЬНИЙ ЗАКЛАД "ДНІПРОПЕТРОВСЬКЕ ОБЛАСНЕ БЮРО СУДОВО-МЕДИЧНОЇ ЕКСПЕРТИЗИ"ДНІПРОПЕТРОВСЬКОЇ ОБЛАСНОЇ РАДИ"</t>
  </si>
  <si>
    <t>КОМУНАЛЬНИЙ ЗАКЛАД "ДОШКІЛЬНИЙ НАВЧАЛЬНИЙ ЗАКЛАД (ЯСЛА-САДОК) № 7 "ПРОЛІСОК" КАМ'ЯНСЬКОЇ МІСЬКОЇ РАДИ</t>
  </si>
  <si>
    <t>КОМУНАЛЬНИЙ ЗАКЛАД "ЗДОЛБУНІВСЬКИЙ ГЕРІАТРИЧНИЙ ПАНСІОНАТ" РІВНЕНСЬКОЇ ОБЛАСНОЇ РАДИ</t>
  </si>
  <si>
    <t>КОМУНАЛЬНИЙ ЗАКЛАД "КАМ'ЯНСЬКИЙ СПЕЦІАЛІЗОВАНИЙ БУДИНОК ДИТИНИ" ДНІПРОПЕТРОВСЬКОЇ ОБЛАСНОЇ РАДИ"</t>
  </si>
  <si>
    <t>КОМУНАЛЬНИЙ ЗАКЛАД "МИКУЛИНЕЦЬКИЙ ЛІЦЕЙ ЯКУШИНЕЦЬКОЇ СІЛЬСЬКОЇ РАДИ ВІННИЦЬКОЇ ОБЛАСТІ"</t>
  </si>
  <si>
    <t>КОМУНАЛЬНИЙ ЗАКЛАД "ОБОДІВСЬКИЙ ЗАКЛАД ЗАГАЛЬНОЇ СЕРЕДНЬОЇ ОСВІТИ І-ІІІ СТУПЕНІВ" ОБОДІВСЬКОЇ СІЛЬСЬКОЇ РАДИ</t>
  </si>
  <si>
    <t>КОМУНАЛЬНИЙ ЗАКЛАД "РІВНЕНСЬКИЙ ПСИХОНЕВРОЛОГІЧНИЙ ІНТЕРНАТ " РІВНЕНСЬКОЇ ОБЛАСНОЇ РАДИ</t>
  </si>
  <si>
    <t>КОМУНАЛЬНИЙ ЗАКЛАД "ХОТИНСЬКА СПЕЦІАЛЬНА ШКОЛА №1"</t>
  </si>
  <si>
    <t>КОМУНАЛЬНИЙ ЗАКЛАД БЕРЕЗІВСЬКОЇ СІЛЬСЬКОЇ РАДИ "БЕРЕЗІВСЬКИЙ НАВЧАЛЬНО-ВИХОВНИЙ КОМПЛЕКС: ЗАГАЛЬНООСВІТНЯ ШКОЛА І-ІІІ СТУПЕНІВ, ДОШКІЛЬНИЙ НАВЧАЛЬНИЙ ЗАКЛАД "ВЕСЕЛКА"</t>
  </si>
  <si>
    <t>КОМУНАЛЬНИЙ ЗАКЛАД ДОШКІЛЬНОЇ ОСВІТИ (ЯСЛА-САДОК) КОМБІНОВАНОГО ТИПУ № 35 "КУЛЬБАБКА" ЖОВТОВОДСЬКОЇ МІСЬКОЇ РАДИ</t>
  </si>
  <si>
    <t>КОМУНАЛЬНИЙ ЗАКЛАД ДОШКІЛЬНОЇ ОСВІТИ (ЯСЛА-САДОК) № 8 "ЖУРАВЛИК" СОКАЛЬСЬКОЇ МІСЬКОЇ РАДИ ЛЬВІВСЬКОЇ ОБЛАСТІ</t>
  </si>
  <si>
    <t>КОМУНАЛЬНИЙ ЗАКЛАД ДОШКІЛЬНОЇ ОСВІТИ №2 "ОЛЕНКА" КОМБІНОВАНОГО ТИПУ ДНІПРОРУДНЕНСЬКОЇ МІСЬКОЇ РАДИ ВАСИЛІВСЬКОГО РАЙОНУ ЗАПОРІЗЬКОЇ ОБЛАСТІ</t>
  </si>
  <si>
    <t>КОМУНАЛЬНИЙ ЗАКЛАД ОСВІТИ КРЕМЕНЧУЦЬКИЙ МЕДИЧНИЙ ФАХОВИЙ КОЛЕДЖ ІМЕНІ В.І.ЛИТВИНЕНКА ПОЛТАВСЬКОЇ ОБЛАСНОЇ РАДИ</t>
  </si>
  <si>
    <t>КОНЦЕРН “МІСЬКІ ТЕПЛОВІ МЕРЕЖІ”</t>
  </si>
  <si>
    <t>КОРШІВСЬКА СІЛЬСЬКА РАДА</t>
  </si>
  <si>
    <t>КП ""Луцькводоканал""</t>
  </si>
  <si>
    <t>КП "Благоустрій-Василівка" Василівської міської ради Запорізької області</t>
  </si>
  <si>
    <t>КП "ДОБРОПІЛЬСЬКИЙ МІСЬКИЙ ТРАНСПОРТ"</t>
  </si>
  <si>
    <t>КП "ЖКС" Порто-Франківський"</t>
  </si>
  <si>
    <t>КП "Житомирводоканал"</t>
  </si>
  <si>
    <t>КП "Коменергосервіс"</t>
  </si>
  <si>
    <t>КП "Комунальник"</t>
  </si>
  <si>
    <t>КП "Одесміськелектротранс"</t>
  </si>
  <si>
    <t>КП "СПОРТИВНИЙ КОМПЛЕКС "МЕТАЛІСТ" ХАРКІВСЬКОЇ МІСЬКОЇ РАДИ"</t>
  </si>
  <si>
    <t>КП "Харківські теплові мережі"</t>
  </si>
  <si>
    <t>КП "Хмельницьке комунальне підприємство "Електротранс""</t>
  </si>
  <si>
    <t>КП "ЧЕРНІГІВСЬКЕ ТРОЛЕЙБУСНЕ УПРАВЛІННЯ" ЧЕРНІГІВСЬКОЇ МІСЬКОЇ РАДИ"</t>
  </si>
  <si>
    <t>КП "Шляхово-експлуатаційне підприємство" Рубіжанської міської ради</t>
  </si>
  <si>
    <t>КП "Шляхрембуд" Лубенської міської ради Лубенського району Полтавської області</t>
  </si>
  <si>
    <t>КП ГДМБ (Госпрозрахункова дільниця механізації будівництва)</t>
  </si>
  <si>
    <t>КП Кам'янської міської ради "Кам'янська теплопостачальна компанія"</t>
  </si>
  <si>
    <t>КП Комунальне некомерційне підприємство "Гребінківська міська лікарня" Гребінківіської міської ради Полтавської області</t>
  </si>
  <si>
    <t>КП Комунальне підприємство "МАРІУПОЛЬВОДОКАНАЛ"</t>
  </si>
  <si>
    <t>КП Комунальник</t>
  </si>
  <si>
    <t>КП Об'єднане</t>
  </si>
  <si>
    <t>КП Полонської міської ради "Благоустрій"</t>
  </si>
  <si>
    <t>КП Ритуальна Служба</t>
  </si>
  <si>
    <t>КП ФМР "Фастівводоканал"</t>
  </si>
  <si>
    <t>КП Центр первинної медико-санітарної допомоги Іллінецької міської ради</t>
  </si>
  <si>
    <t>КП Чернігівводоканал</t>
  </si>
  <si>
    <t>КП ШЕУ Голосіївського району м.Києва</t>
  </si>
  <si>
    <t>КУ "Василівська спеціальна загальноосвітня школа-інтернат ЗОР"</t>
  </si>
  <si>
    <t>КУ "Дружківська загальноосвітня школа І-ІІІ ступенів №17 Дружківської міської ради Донецької області"</t>
  </si>
  <si>
    <t>КУ Івано-Франківський навчально-реабілітаційний центр Івано-Франківської обласної ради</t>
  </si>
  <si>
    <t>КУ Вовчанський спеціальний будинок-інтернат</t>
  </si>
  <si>
    <t>КУ Комунальний психіатричний заклад "Мілівецький психоневрологічний інтернат"</t>
  </si>
  <si>
    <t>КУ Лонковецький психоневрологічний інтернат</t>
  </si>
  <si>
    <t>КУ Панютинський психоневрологічний інтернат</t>
  </si>
  <si>
    <t>КУ Покровський психоневрологічний інтернат</t>
  </si>
  <si>
    <t>Кабель силовий для капітального будівництва по об’єкту: «Будівництво 32–х квартирного житлового будинку, військової частини Т0310, м. Дніпро, Криворізьке шосе 2»</t>
  </si>
  <si>
    <t>Кабелі та супутня продукція (Провід ПВС 2*0.75, Провід ПВС 2*1.5, кабельний канал 16*16, кабельний канал 25*16 ).</t>
  </si>
  <si>
    <t>Кавовий напій, чай вищого ґатунку за ДК 021-2015 (CPV) 15860000-4 - Кава, чай та супутня продукція</t>
  </si>
  <si>
    <t>Кагарлицька міська рада</t>
  </si>
  <si>
    <t xml:space="preserve">Какао код за ДК 021:2015 - 15840000-8 «Какао; шоколад та цукрові кондитерські вироби». </t>
  </si>
  <si>
    <t>Канцелярське приладдя (Спорт для всіх)</t>
  </si>
  <si>
    <t>Канцелярські товари</t>
  </si>
  <si>
    <t>Капуста квашена, огірки солені, код ДК 021:2015 –15330000-0 «Оброблені фрукти та овочі»</t>
  </si>
  <si>
    <t>Капуста квашена, огірок квашений, повидло, сухофрукти, курага, горошок зелений морожений, малина морожена, вишня морожена, чорнослив, родзинки</t>
  </si>
  <si>
    <t>Капітальний  ремонт   покрівлі комунального закладу «Жмеринська дитячо-юнацька спортивна школа» по вул. Б. Хмельницького, 36   в м. Жмеринка Вінницької області</t>
  </si>
  <si>
    <t>Капітальний ремонт багатоквартирного житлового будинку ОСББ "ВИСОТНИЙ" за адресою: вулиця 23 Серпня, 39 (ДК 021:2015-45453000-7 Капітальний ремонт і реставрація)</t>
  </si>
  <si>
    <t>Капітальний ремонт дороги по пров. Мистецький (від буд. №34 до буд. №45) в м. Вінниці (Класифікатор ДК 021:2015: 45230000-8 Будівництво трубопроводів, ліній зв’язку та електропередач, шосе, доріг, аеродромів і залізничних доріг; вирівнювання поверхонь).</t>
  </si>
  <si>
    <t>Капітальний ремонт мережі постійного струму з заміною АБ</t>
  </si>
  <si>
    <t>Капітальний ремонт місцевої системи централізованного оповіщення цивільного захисту на території Кам'янської міської територіальної громади (за ДК 021:2015 45453000-7 - Капітальний ремонт і реставрація, назва визначена згідно та з урахуванням ДСТУ БД.1.1-1:2013 "Правила визначання вартості будівництва")</t>
  </si>
  <si>
    <t xml:space="preserve">Капітальний ремонт харчоблоку Волноваського ЗЗСО I-III ступенів № 4 Волноваської міської територіальної громади, розташованого за адресою: м. Волноваха, вул. Полтавська, 274 </t>
  </si>
  <si>
    <t>Картопля, горох</t>
  </si>
  <si>
    <t>Картопля, горох сухий колотий</t>
  </si>
  <si>
    <t>Картопля, горох сушений лущений</t>
  </si>
  <si>
    <t>Картопля, картопля молода, квасоля</t>
  </si>
  <si>
    <t>Картопля, квасоля</t>
  </si>
  <si>
    <t>Картопля; горох сушений</t>
  </si>
  <si>
    <t>Кашкет</t>
  </si>
  <si>
    <t>Кашне</t>
  </si>
  <si>
    <t>Квасоля в банці (ДК 021:2015 15330000-0 Оброблені фрукти та овочі)</t>
  </si>
  <si>
    <t>Кейтерингові послуги</t>
  </si>
  <si>
    <t>Кефір, Йогурт, Сметана</t>
  </si>
  <si>
    <t>Кисень газоподібний технічний</t>
  </si>
  <si>
    <t>Кисень медичний газоподібний з доставкою</t>
  </si>
  <si>
    <t xml:space="preserve">Кисіль фруктовий, дріжджі сухі. </t>
  </si>
  <si>
    <t>Києво-Святошинський районний центр зайнятості</t>
  </si>
  <si>
    <t>Київмедспецтранс</t>
  </si>
  <si>
    <t>Київська область</t>
  </si>
  <si>
    <t>Київське вище професійне училище будівництва і архітектури</t>
  </si>
  <si>
    <t>Київський міський центр сім"ї "Родинний дім"</t>
  </si>
  <si>
    <t xml:space="preserve">Класифікатор ДК 021:2015 - 45331210-1 Встановлення вентиляційних систем (Послуги з встановлення системи вентиляції по об’єктам Державної установи «Сумська випрана колонія (№116)» - Гарячий цех; Мийний цех; Рибо-м’ясний цех; Сантехнічний вузол; Холодний цех за адресою: місто Суми, вулиця Роменська будинок 110)
</t>
  </si>
  <si>
    <t>Клема роздільного рейкового скріплення залізничної колії (34940000-8 залізничне обладнання)</t>
  </si>
  <si>
    <t>Клема роздільного рейкового скріплення залізничної колії (34940000-8- залізничне обладнання)</t>
  </si>
  <si>
    <t>Кнопка відключення 512 вар.2</t>
  </si>
  <si>
    <t>Кобеляцький  ліцей Полтавської обласної ради</t>
  </si>
  <si>
    <t>Ковбаса варена вищого ґатунку, сосиски, сардельки вищого ґатунку, паштети в асортименті.</t>
  </si>
  <si>
    <t>Ковбасні вироби</t>
  </si>
  <si>
    <t>Код  ДК 021:2015 – 85110000-3 - Послуги лікувальних закладів та супутні послуги (проведення профілактичних медичних оглядів працівників)</t>
  </si>
  <si>
    <t>Код CPV</t>
  </si>
  <si>
    <t>Код CPV за ДК 021:2015 - 71350000-6 Науково-технічні послуги в галузі інженерії (Метеорологічні послуги)</t>
  </si>
  <si>
    <t xml:space="preserve">Код ДК 021-2015:  33600000-6 «Фармацевтична продукція»
(Анальгін  (Metamizole sodium), Фуросемід  (Furosemide), Магнію сульфат  (Magnesium sulfate), Дротаверин  (Drotaverine), Метопролол (Metoprolol), Метоклопрамід (Metoclopramide), Фармадипін (Nifedipine), Ібупрофен  (Ibuprofen), Дексаметазон (Dexamethasone), Цефтріаксон (Ceftriaxone), Ефмерин (Ceftriaxone), Нохшаверін (Drotaverine), Амікацину сульфат (Amikacin), Раностоп (Povidone-iodine), Аміак (Ammonia), Гепарин  (Heparin), Глюкоза (Glucose), Глюкоза (Glucose), Адреналіна (Epinephrine), Глюкоза  (Glucose), Глюкоза  (Glucose), Ніфедипін  (Nifedipine), Муколван (Ambroxol), Анапірон (Paracetamol ),  Пульмікорт (Budesonide), Еуфілін  (Theophylline), Мезатон (Phenylephrine), Метрогіл  (Metronidazole), Дофамін (Dopamine),  Гемаксам (Tranexamic acid), Вода для інєкції (Aqua pro injectioni), Хлоргексидин (Chlorhexidine), Парацетамол (Paracetamol), Нітрогліцерин (Glyceryl trinitrate), Гідрокортизон (Hydrocortisone), Бофен (Ibuprofen),   Амлодипін (Amlodipine), Бісопролол (Bisoprolol), Каптоприл  (Captopril), Натрію хлорид  (Sodium chloride), Диклофенак (Diclofenac), Омепразол (Omeprazole), Рефордез (Hydroxyethylstarch), Рефордез (Hydroxyethylstarch), Атропіна сульфат (Atropine), Прозерин  (Neostigmine), Верапаміл (Verapamil), Вентолін (Salbutamol), Натрію хлорид (Sodium chloride), Натрію хлорид  (Sodium chloride), Натрію хлорид (Sodium chloride), Ізосол (Electrolytes), Рінгера (Electrolytes), Рінгера (Electrolytes), Аспаркам (different salts in combination), Аритміл (Amiodarone), Фленокс (Enoxaparin), Дигоксин (Digoxin), Ефмерин (Ceftriaxone), Деніпім  (Cefepime), Денізид (Ceftazidime), Манітол  (Mannitol), Лідокаїна гідрохлорид (Lidocaine), Рінгера лактатний  (Electrolytes), Рінгера лактатний  (Electrolytes), Масло вазелінове (Oleum vaselini),   Строфантин (G-strophanthin), Сальбутамол (Salbutamol), Фармасулін (Insulin (human)), Фармасулін (Insulin (human)) ,Корглікон (Corglycone) ,  Корвітол (Metoprolol), Преднизолон (Prednisolone), Фенігідін (Phenihidin), Цикломед (Cyclopentolate), Аритміл (Amiodarone), Ізо-мік (Isosorbide dinitrate), Беталок (Metoprolol), Левасепт  ( Levofloxacin), Азитроміцин (Azithromycin), Септил (Ethanol),  Септил Плюс (Ethanol)).
</t>
  </si>
  <si>
    <t>Код ДК 021:2015  - 45000000-7 Будівельні роботи та поточний ремонт (Реконструкція. Технічне переоснащення ПЛ-0,4 кВ від ТП-54/52, КТП-54/222, КТП-54/224, КТП-54/225, КТП-54/239 з заміною неізольованого дроту на CIП с.м.т. Кушугум Запорізького району, Запорізької області)</t>
  </si>
  <si>
    <t>Код ДК 021:2015 (CPV) 15550000-8 Молочні продукти різні Номенклатурна позиція: йогурт (ДК 021:2015: 15551300-8 Йогурт)</t>
  </si>
  <si>
    <t>Код ДК 021:2015 - 09310000-5 Електрична енергія</t>
  </si>
  <si>
    <t>Код ДК 021:2015 - 44110000-4 - Конструкційні матеріали (плити)</t>
  </si>
  <si>
    <t>Код ДК 021:2015 - 50850000-8 Послуги з ремонту і технічного обслуговування меблів (послуги з обслуговування м'яких меблів)</t>
  </si>
  <si>
    <t>Код ДК 021:2015 - 72310000-1 - Послуги з обробки даних (послуги з постачання даних)</t>
  </si>
  <si>
    <t xml:space="preserve">Код ДК 021:2015 15810000-9 Хлібопродукти, свіжовипечені хлібобулочні та кондитерські вироби (Код ДК 021:2015 15811100-7 хліб з борошна пшеничного І ґатунку, Код ДК 021:2015 15811100-7 хліб із суміші борошна житнього обдирного і пшеничного І ґатунку, Код ДК 021:2015 15811200-8 булка із борошна пшеничного І ґатунку масою 70 грамів) </t>
  </si>
  <si>
    <t>Код ДК 021:2015 – 38430000-8, Детектори та аналізатори (Рідинний хроматограф з діодно-матричним та флуоресцентним детекторами)</t>
  </si>
  <si>
    <t>Код ДК 021:2015 – 50530000-9 Послуги з ремонту і технічного обслуговування техніки (послуги з технічного обслуговування газової котельні та вузла обліку газу в КЗ «Вищетарасівський ПНІ» ДОР») (місцевий бюджет)</t>
  </si>
  <si>
    <t>Код ДК 021:2015 – 50530000-9 Послуги з ремонту і технічного обслуговування техніки (послуги з технічного обслуговування зовнішнього та внутрішнього газопроводу газової котельні на території КЗ «Вищетарасівський ПНІ» ДОР») (місцевий бюджет)</t>
  </si>
  <si>
    <t>Код ДК 021:2015-30210000-4 - Машини для обробки даних (апаратна частина)).Персональний комп’ютер в комплекті: моноблок, клавіатура, маніпулятор «миша», операційна система-7 комплектів</t>
  </si>
  <si>
    <t>Код ДК 021:2015: 33140000-3 Медичні матеріали (Код НК 024:2019 47588 Пробірка вакуумна для відбору зразків крові IVD, з КЗЕДТА,  42386- Пробірка вакуумна для взяття зразків крові, з активатором згортання IVD,  42585 - Пробірка вакуумна для взяття зразків крові, з натрію цитратом, IVD, 10173-Антисептичний аплікатор, 31400- Контейнер для збору проб сечі, стерильний IVD, 43761- Пробірка центрифужна, нестерильна, 35209- Голка для взяття крові, стандартна, 37566 — Тримач пробірки для забору крові, одноразового використання, 35212 - Голка спінальна, одноразового використання, 48170 – гемостатичний засіб, 35339 - Простирадло проґумоване, 37445 - Лезо скальпеля, одноразового використання, 45254 аспіраційна канюля, багаторазового застосування, 34842 - Набір для епідуральної анестезії, який не містить лікарських засобів, 44059 Одноразовий акушерсько-гінекологічний хірургічний набір, що не містить лікарських засобів, 35260- Серкляжцервікальний, 36194- Фільтр для системи аферезу, для цільної крові, 47237 - Серветка для очищення шкіри, 37362-Сечоприймач, що носиться при краплинномунетриманні, сечоприймач при ліжковий, 61579 –скарифікатор неавтоматичний, одноразового використання, 32368 – Щітка цитологічна цервікальна, 31245 – Фільтр для проведення анестезії)</t>
  </si>
  <si>
    <t>Код ДК 021:2015: 50410000-2 Послуги з ремонту і технічного обслуговування вимірювальних, випробувальних і контрольних приладів. (Надання послуг з технічної діагностики аналізатора спектру вібрації 795М)</t>
  </si>
  <si>
    <t>Код ДК 021:2015:03210000-6 – Зернові культури та картопля (картопля, горох, квасоля).</t>
  </si>
  <si>
    <t>Код за ДК 021: 2015 15330000-0 Оброблені фрукти та овочі Код товару що найбільше відповідає назві номенклатурної позиції предмета закупівлі: ДК 021:2015 15331470-2 Цукрова кукурудза ДК 021:2015 15331462 -3 Консервований горох ДК 021:2015 15331410-4 Квасоля в томатному соусі ДК 021:2015 15331428-3 Томатний соус ДК 021:2015 15332290-3 Джеми ДК 021:2015 15331133-8 Колотий горох ДК 021:2015 15332419-4 Родзинки без кісточок</t>
  </si>
  <si>
    <t>Код за ДК 021:2015 - 15330000-0 Оброблені фрукти та овочі)</t>
  </si>
  <si>
    <t>Комп'ютерне обладнання</t>
  </si>
  <si>
    <t>Комп'ютерні бездротові мишки</t>
  </si>
  <si>
    <t xml:space="preserve">Комплекти  одягу (44059 - Одноразовий акушерсько-гінекологічний хірургічний набір, що не містить лікарських засобів, 61938 - Набір одягу хірургічний / оглядовий)  код ДК 021:2015 – 33190000-8 Медичне обладнання та вироби медичного призначення різні 
</t>
  </si>
  <si>
    <t>Комп’ютерне обладнання (моноблоки та багатофункціональні пристрої)</t>
  </si>
  <si>
    <t>Комп’ютерне обладнання 30230000-0 за ДК 021:2015  (Плоскопанельні дисплеї)</t>
  </si>
  <si>
    <t>Комунальна корпорація "Київавтодор"</t>
  </si>
  <si>
    <t>Комунальна організація (установа,заклад) Шепетівська спеціалізована загальноосвітня школа І-ІІІ ступенів №2 з поглибленим вивченням основ економіки і правознавства Хмельницької області</t>
  </si>
  <si>
    <t>Комунальна установа "Запорізьке обласне бюро судово-медичної експертизи" Запорізької обласної ради</t>
  </si>
  <si>
    <t>Комунальна установа "Запорізький обласний спеціалізований будинок дитини "Сонечко" Запорізької обласної ради</t>
  </si>
  <si>
    <t>Комунальна установа "Любицький психоневрологічний інтернат" Запорізької обласної ради</t>
  </si>
  <si>
    <t>Комунальна установа "Обласний центр комплексної реабілітації осіб з інвалідністю" Запорізької обласної ради</t>
  </si>
  <si>
    <t>Комунальна установа "Центр культури та дозвілля Ободівської сільської ради"</t>
  </si>
  <si>
    <t>Комунальна установа «Одеський міський центр реінтеграції осіб без визначеного місця проживання»</t>
  </si>
  <si>
    <t>Комунальне  некомерційне  підприємство "ЦПМСД №2"</t>
  </si>
  <si>
    <t>Комунальне  підприємство "Школярик" Шевченківського району м.Києва"</t>
  </si>
  <si>
    <t>Комунальне виробниче підприємство "Краматорська тепломережа" Краматорської міської ради</t>
  </si>
  <si>
    <t>Комунальне виробниче управління "Каховський водоканал"</t>
  </si>
  <si>
    <t>Комунальне комерційне підприємство Маріупольської міської ради "м.ЄХАБ"</t>
  </si>
  <si>
    <t>Комунальне некомерційне підприємство  "Бершадська окружна лікарня інтенсивного лікування Бершадської міської ради"</t>
  </si>
  <si>
    <t>Комунальне некомерційне підприємство  "Міський пологовий будинок з функціями перинатального центру ІІ рівня" Кропивницької міської ради"</t>
  </si>
  <si>
    <t>Комунальне некомерційне підприємство  "Ніжинська центральна міська лікарня імені Миколи Галицького" Ніжинської міської ради Чернігівської області</t>
  </si>
  <si>
    <t>Комунальне некомерційне підприємство  "Прикарпатський обласний клінічний центр психічного здоров’я Івано-Франківської обласної ради"</t>
  </si>
  <si>
    <t>Комунальне некомерційне підприємство  «Житомирський обласний онкологічний диспансер» Житомирської обласної ради</t>
  </si>
  <si>
    <t>Комунальне некомерційне підприємство  Слов'янської міської ради  «Центр первинної медико – санітарної допомоги міста Слов’янська»</t>
  </si>
  <si>
    <t>Комунальне некомерційне підприємство " Олександрівський центр первинної медико-санітарної допомоги"  Олександрівської селищної ради Кропивницького району Кіровоградської області</t>
  </si>
  <si>
    <t>Комунальне некомерційне підприємство " Стрийська центральна міська лікарня"</t>
  </si>
  <si>
    <t xml:space="preserve">Комунальне некомерційне підприємство "Іллінецька міська лікарня" Іллінецької міської ради
</t>
  </si>
  <si>
    <t xml:space="preserve">Комунальне некомерційне підприємство "Андрушівська міська лікарня" Андрушівської міської  ради
</t>
  </si>
  <si>
    <t>Комунальне некомерційне підприємство "Багатопрофільна лікарня інтенсивного лікування Костянтинівської міської ради"</t>
  </si>
  <si>
    <t>Комунальне некомерційне підприємство "Балаклійський центр первинної медико-санітарної допомоги" Балаклійської міської ради Харківської області</t>
  </si>
  <si>
    <t>Комунальне некомерційне підприємство "Березівська центральна міська лікарня" Березівської міської ради Одеської області</t>
  </si>
  <si>
    <t>Комунальне некомерційне підприємство "Бориспільська багатопрофільна лікарня інтенсивного лікування" (КНП "ББЛІЛ")</t>
  </si>
  <si>
    <t>Комунальне некомерційне підприємство "Великобичківський центр первинної медико-санітарної допомоги"Великобичківської селищної ради Закарпатської обл.</t>
  </si>
  <si>
    <t>Комунальне некомерційне підприємство "Веселинівська районна лікарня" Веселинівської селищної ради</t>
  </si>
  <si>
    <t>Комунальне некомерційне підприємство "Волноваська центральна районна лікарня"</t>
  </si>
  <si>
    <t>Комунальне некомерційне підприємство "Вінницька міська клінічна лікарня №1"</t>
  </si>
  <si>
    <t>Комунальне некомерційне підприємство "Дитяча клінічна лікарня № 9 Подільського району міста Києва" виконавчого органу Київської міської ради (Київської міської державної адміністрації)</t>
  </si>
  <si>
    <t>Комунальне некомерційне підприємство "Дитяче територіальне медичне об"єднання" Краматорської міської ради</t>
  </si>
  <si>
    <t>Комунальне некомерційне підприємство "Дніпровський центр первинної медико-санітарної допомоги №11" Дніпровської міської ради</t>
  </si>
  <si>
    <t>Комунальне некомерційне підприємство "Долинська багатопрофільна лікарня" Долинської міської ради Івано- Франківської області</t>
  </si>
  <si>
    <t>Комунальне некомерційне підприємство "Житомирське обласне стоматологічне медичне об’єднання" Житомирської обласної ради</t>
  </si>
  <si>
    <t>Комунальне некомерційне підприємство "Жмеринська центральна районна лікарня" Жмеринської міської ради</t>
  </si>
  <si>
    <t>Комунальне некомерційне підприємство "Звенигородська багатопрофільна лікарня інтенсивного лікування" Звенигородської міської ради Звенигородського району Черкаської області</t>
  </si>
  <si>
    <t>Комунальне некомерційне підприємство "Київська міська клінічна лікарня №1" виконавчого органу Київської міської ради (Київської міської державної адміністрації)</t>
  </si>
  <si>
    <t>Комунальне некомерційне підприємство "Київська стоматологія" виконавчого органу Київської міської ради (Київської міської державної адміністрації),</t>
  </si>
  <si>
    <t>Комунальне некомерційне підприємство "Клінічна лікарня №4" Сумської міської ради</t>
  </si>
  <si>
    <t>Комунальне некомерційне підприємство "Консультативно-діагностичний центр №2 Дарницького району м. Києва"</t>
  </si>
  <si>
    <t>Комунальне некомерційне підприємство "Коростенська центральна міська лікарня Коростенської міської ради"</t>
  </si>
  <si>
    <t>Комунальне некомерційне підприємство "Коростеньська центральна районна лікарня" Ушомирської сільської ради</t>
  </si>
  <si>
    <t>Комунальне некомерційне підприємство "Корюківська  центральна  районна  лікарня"  Корюківської міської ради</t>
  </si>
  <si>
    <t>Комунальне некомерційне підприємство "Краснопільська лікарня" Краснопільської селищної ради</t>
  </si>
  <si>
    <t>Комунальне некомерційне підприємство "Криворізька міська лікарня №5" Криворізької міської ради</t>
  </si>
  <si>
    <t>Комунальне некомерційне підприємство "Кіровоградська обласна лікарня Кіровоградської обласної ради"</t>
  </si>
  <si>
    <t>Комунальне некомерційне підприємство "Лікарня" Пулинської селищної ради</t>
  </si>
  <si>
    <t>Комунальне некомерційне підприємство "Миколаївський обласний центр онкології"  Миколаївської обласної ради</t>
  </si>
  <si>
    <t>Комунальне некомерційне підприємство "Міська дитяча лікарня № 5" Харківської міської ради</t>
  </si>
  <si>
    <t>Комунальне некомерційне підприємство "Міська дитяча поліклініка №12" Харківської міської ради</t>
  </si>
  <si>
    <t>Комунальне некомерційне підприємство "Міська дитяча поліклініка №13" Харківської міської ради</t>
  </si>
  <si>
    <t>Комунальне некомерційне підприємство "Міська лікарня № 28" Харківської міської ради</t>
  </si>
  <si>
    <t>Комунальне некомерційне підприємство "Міська лікарня № 3" Краматорської міської ради</t>
  </si>
  <si>
    <t>Комунальне некомерційне підприємство "Міська лікарня №6" Запорізької міської ради</t>
  </si>
  <si>
    <t>Комунальне некомерційне підприємство "Міська поліклініка № 6" Харківської міської ради</t>
  </si>
  <si>
    <t>Комунальне некомерційне підприємство "Міська поліклініка №1" Чернівецької міської ради</t>
  </si>
  <si>
    <t>Комунальне некомерційне підприємство "Міська поліклініка №26" Харківської міської ради</t>
  </si>
  <si>
    <t>Комунальне некомерційне підприємство "Міський центр первинної медико-санітарної допомоги" Енергодарської міської ради Запорізької області</t>
  </si>
  <si>
    <t>Комунальне некомерційне підприємство "ОБЛАСНА ДИТЯЧА ЛІКАРНЯ" Закарпатської обласної ради</t>
  </si>
  <si>
    <t>Комунальне некомерційне підприємство "Обласна клінічна лікарня ім. О.Ф Гербачевського" Житомирської обласної ради</t>
  </si>
  <si>
    <t>Комунальне некомерційне підприємство "Обласне територіальне медичне об'єднання м. Краматорськ"</t>
  </si>
  <si>
    <t>Комунальне некомерційне підприємство "Обласний дитячий протитуберкульозний санаторій "Руська Поляна" Черкаської обласної ради"</t>
  </si>
  <si>
    <t>Комунальне некомерційне підприємство "Павлоградська лікарня інтенсивного лікування" Павлоградської міської ради</t>
  </si>
  <si>
    <t>Комунальне некомерційне підприємство "Першотравенський міський центр первинної медико-санітарної допомоги"</t>
  </si>
  <si>
    <t>Комунальне некомерційне підприємство "Прикарпатський  обласний центр служби крові Івано-Франківської обласної ради"</t>
  </si>
  <si>
    <t xml:space="preserve">Комунальне некомерційне підприємство "СЛОВ'ЯНСЬКА ЦЕНТРАЛЬНА РАЙОННА ЛІКАРНЯ"
</t>
  </si>
  <si>
    <t>Комунальне некомерційне підприємство "Сокирянська лікарня"Сокирянської міської ради</t>
  </si>
  <si>
    <t>Комунальне некомерційне підприємство "Тернопільська комунальна міська лікарня №2"</t>
  </si>
  <si>
    <t>Комунальне некомерційне підприємство "Тростянецька міська лікарня" Тростянецької міської ради</t>
  </si>
  <si>
    <t>Комунальне некомерційне підприємство "Херсонська міська стоматологічна поліклініка" Херсонської міської ради</t>
  </si>
  <si>
    <t>Комунальне некомерційне підприємство "Хмельницький обласний серцево-судинний центр" Хмельницької обласної ради</t>
  </si>
  <si>
    <t>Комунальне некомерційне підприємство "Центр первинної медико - санітарної допомоги "Центральний" Рівненської міської ради</t>
  </si>
  <si>
    <t>Комунальне некомерційне підприємство "Центр первинної медико-санітарної допомоги Селидівської міської ради"</t>
  </si>
  <si>
    <t>Комунальне некомерційне підприємство "Центр первинної медико-санітарної допомоги № 4" Криворізької міської ради</t>
  </si>
  <si>
    <t>Комунальне некомерційне підприємство "Центр первинної медико-санітарної допомоги №2" Дарницького району м.Києва</t>
  </si>
  <si>
    <t>Комунальне некомерційне підприємство "Центр первинної медико-санітарної допомоги"</t>
  </si>
  <si>
    <t>Комунальне некомерційне підприємство "Центр первинної медико-санітарної допомоги" Бучацької міської ради</t>
  </si>
  <si>
    <t>Комунальне некомерційне підприємство "Центр первинної медико-санітарної допомоги" Лубенської міської ради Лубенського району Полтавської області</t>
  </si>
  <si>
    <t>Комунальне некомерційне підприємство "Черкаська міська інфекційна лікарня"</t>
  </si>
  <si>
    <t>Комунальне некомерційне підприємство "Черкаський обласний онкологічний диспансер Черкаської обласної ради"</t>
  </si>
  <si>
    <t xml:space="preserve">Комунальне некомерційне підприємство "Черкаський обласний психоневрологічний диспансер Черкаської обласної ради" </t>
  </si>
  <si>
    <t>Комунальне некомерційне підприємство "Шосткинська стоматологічна поліклініка" Шосткинської міської ради</t>
  </si>
  <si>
    <t>Комунальне некомерційне підприємство «Київська міська клінічна лікарня №12» виконавчого органу Київської міської ради (Київської міської державної адміністрації)</t>
  </si>
  <si>
    <t>Комунальне некомерційне підприємство «Міська лікарня №7» Запорізької міської ради</t>
  </si>
  <si>
    <t>Комунальне некомерційне підприємство Білоцерківської міської ради "Білоцерківська міська лікарня №1"</t>
  </si>
  <si>
    <t>Комунальне некомерційне підприємство Маріупольської Міської Ради "Центр первинної медико-санітарної допомоги №4 м.Маріуполя"</t>
  </si>
  <si>
    <t>Комунальне некомерційне підприємство Маріупольської міської ради  "Центр первинної медико-санітарної допомоги № 1 м. Маріуполя"</t>
  </si>
  <si>
    <t>Комунальне некомерційне підприємство Маріупольської міської ради "Маріупольська міська лікарня № 4 ім. І.К. Мацука"</t>
  </si>
  <si>
    <t>Комунальне некомерційне підприємство Охтирської міської ради "Охтирський міський центр первинної медико-санітарної допомоги"</t>
  </si>
  <si>
    <t xml:space="preserve">Комунальне некомерційне підприємство Саф’янівської сільської ради Ізмаїльського району Одеської області «Центральна районна лікарня»
</t>
  </si>
  <si>
    <t xml:space="preserve">Комунальне некомерційне підприємство Сквирської міської ради "Сквирська центральна міська лікарня"
</t>
  </si>
  <si>
    <t>Комунальне некомерційне підприємство Сумської обласної ради Сумський обласний клінічний онкологічний диспансер</t>
  </si>
  <si>
    <t>Комунальне некомерційне підприємство Центр первинної-медико санітарної допомоги №4 м.Вінниці</t>
  </si>
  <si>
    <t>Комунальне некомерційне підприємство виконавчого органу Київської міської ради (Київської міської державної адміністрації) "ОСВІТНЯ АГЕНЦІЯ МІСТА КИЄВА"</t>
  </si>
  <si>
    <t>Комунальне некомерційне підприємство"Знам'янська міська лікарня ім. А.В. Лисенка" Знам'янської міської ради</t>
  </si>
  <si>
    <t>Комунальне підприємство  "Криворізький онкологічний диспансер" Дніпропетровської обласної ради"</t>
  </si>
  <si>
    <t>Комунальне підприємство "4-а міська клінічна лікарня Полтавської міської ради"</t>
  </si>
  <si>
    <t>Комунальне підприємство "Інститут розвитку міста Кривого Рогу" Криворізької міської ради</t>
  </si>
  <si>
    <t>Комунальне підприємство "Водоканал"</t>
  </si>
  <si>
    <t>Комунальне підприємство "Волинська обласна клінічна лікарня" Волинської обласної ради</t>
  </si>
  <si>
    <t>Комунальне підприємство "Дніпропетровська обласна дитяча клінічна лікарня" Дніпропетровської обласної ради"</t>
  </si>
  <si>
    <t>Комунальне підприємство "Дніпропетровська обласна станція переливання крові"</t>
  </si>
  <si>
    <t>Комунальне підприємство "ЕКО-САН"</t>
  </si>
  <si>
    <t>Комунальне підприємство "Каштан"</t>
  </si>
  <si>
    <t>Комунальне підприємство "Київжитлоспецексплуатація"</t>
  </si>
  <si>
    <t>Комунальне підприємство "Міськсвітло" Дніпровської міської ради</t>
  </si>
  <si>
    <t>Комунальне підприємство "Наше місто" Запорізької міської ради</t>
  </si>
  <si>
    <t>Комунальне підприємство "Облводоканал" Запорізької обласної ради</t>
  </si>
  <si>
    <t>Комунальне підприємство "Павлоградтеплоенерго" Павлоградської міської ради</t>
  </si>
  <si>
    <t>Комунальне підприємство "Первомайський міський центр первинної медико-санітарної допомоги" Первомайської міської ради</t>
  </si>
  <si>
    <t>Комунальне підприємство "Прилукитепловодопостачання" Прилуцької міської ради Чернігівської області</t>
  </si>
  <si>
    <t>Комунальне підприємство "Рівненський обласний спеціалізований диспансер радіаційного захисту населення" Рівненської обласної ради</t>
  </si>
  <si>
    <t>Комунальне підприємство "Центр захисту тварин" Житомирської міської ради</t>
  </si>
  <si>
    <t>Комунальне підприємство "Швидкісний трамвай"</t>
  </si>
  <si>
    <t>Комунальне підприємство «Шляхово-експлуатаційне управління по ремонту та утриманню автомобільних шляхів та споруд на них  Святошинського району» м. Києва</t>
  </si>
  <si>
    <t>Комунальне підприємство Білоцерківської міської ради "Білоцерківтепломережа"</t>
  </si>
  <si>
    <t>Комунальне підприємство Дніпропетровської обласної ради «Аульський водовід»</t>
  </si>
  <si>
    <t>Комунальне підприємство по ремонту і утриманню мостів і шляхів м. Києва "Київавтошляхміст"</t>
  </si>
  <si>
    <t>Комунальне підприємство по утриманню зелених насаджень Дарницького району м. Києва</t>
  </si>
  <si>
    <t>Комунальне підприємство по утриманню зелених насаджень Дніпровського району м.Києва</t>
  </si>
  <si>
    <t xml:space="preserve">Комунальне підприємтсво ВИКОНАВЧОГО ОРГАНУ КИЇВСЬКОЇ МІСЬКОЇ РАДИ  (КИЇВСЬКОЇ МІСЬКОЇ ДЕРЖАВНОЇ АДМІНІСТРАЦІЇ) ПО ОХОРОНІ, УТРИМАННЮ ТА ЕКСПЛУАТАЦІЇ ЗЕМЕЛЬ ВОДНОГО ФОНДУ М. КИЄВА «ПЛЕСО» </t>
  </si>
  <si>
    <t>Комунальне сільськогосподарське підприємство "Зеленгосп" Бердянської міської ради</t>
  </si>
  <si>
    <t>Комунальний заклад "Вишневий заклад дошкільної освіти "Намистинка" Вишневої міської ради Бучанського району Київської області"</t>
  </si>
  <si>
    <t>Комунальний заклад "Вищетарасівський психоневрологічний інтернат" Дніпропетровської обласної ради"</t>
  </si>
  <si>
    <t>Комунальний заклад "Гуляйпільська спеціальна загальноосвітня школа-інтернат" Запорізької обласної ради</t>
  </si>
  <si>
    <t>Комунальний заклад "Дитячий оздоровчий центр соціальної реабілітації санаторного типу "ПЕРЛИНА  ПРИДНІПРОВ'Я" Дніпропетровсткої обласної ради"</t>
  </si>
  <si>
    <t>Комунальний заклад "Котюжанівська спеціальна школа" Вінницької обласної Ради</t>
  </si>
  <si>
    <t>Комунальний заклад "Навчально-виховний комплекс "Школа гуманітарної праці" Херсонської обласної ради</t>
  </si>
  <si>
    <t>Комунальний заклад "Новопразька спеціальна  школа Кіровоградської обласної ради"</t>
  </si>
  <si>
    <t xml:space="preserve">Комунальний заклад "Первомайська спеціальна школа" Миколаївської обласної ради
</t>
  </si>
  <si>
    <t>Комунальний заклад "Преславська спеціальна загальноосвітня школа-інтернат" Запорізької обласної ради</t>
  </si>
  <si>
    <t>Комунальний заклад "Прилуцький гуманітарно-педагогічний фаховий  коледж імені Івана Франка" Чернігівської обласної ради</t>
  </si>
  <si>
    <t>Комунальний заклад "Середня загальноосвітня школа № 9" Кам'янської міської ради</t>
  </si>
  <si>
    <t>Комунальний заклад "Токмацька спеціальна загальноосвітня школа-інтернат" Запорізької обласної ради</t>
  </si>
  <si>
    <t>Комунальний заклад Добровеличківський ліцей "ІНТЕЛЕКТ" Добровеличківської селищної ради Кіровоградської області</t>
  </si>
  <si>
    <t>Комунальний заклад Київської обласної ради "Обласна стоматологічна поліклініка"</t>
  </si>
  <si>
    <t>Комунальний заклад Херсонської обласної ради Херсонський психоневрологічний будинок-інтернат</t>
  </si>
  <si>
    <t>Комунальний заклад культури "Дніпропетровська обласна універсальна наукова бібліотека ім. Первоучителів слов'янських Кирила і Мефодія"</t>
  </si>
  <si>
    <t>Комунальний соціально-медичний заклад "Меджибізький дитячий будинок- інтернат"</t>
  </si>
  <si>
    <t xml:space="preserve">Консерва рибна (в олії) «Сардина» </t>
  </si>
  <si>
    <t>Консерви рибні</t>
  </si>
  <si>
    <t>Конструкційні матеріали</t>
  </si>
  <si>
    <t>Коростенське комунальне підприємство "Водоканал"</t>
  </si>
  <si>
    <t>Косівський ліцей імені Ігоря Пелипейка</t>
  </si>
  <si>
    <t>Краватка</t>
  </si>
  <si>
    <t>Краги зварника ТиТоТр</t>
  </si>
  <si>
    <t>Крани кульові</t>
  </si>
  <si>
    <t xml:space="preserve">Красноріченська селищна рада Сватівського району Луганської області
</t>
  </si>
  <si>
    <t>Кришки з септами для зберігання стандартних зразків та фільтри</t>
  </si>
  <si>
    <t>Крок зниження</t>
  </si>
  <si>
    <t>Круг метал, квадрат метал, шестигранник метал, кутик метал, лист ХК, лист ПВЛ, труба профільна</t>
  </si>
  <si>
    <t>Крупа гречана</t>
  </si>
  <si>
    <t>Крупа пшенична  ДК 021:2015: 15613000-8; Крупа перлова ДК 021:2015: 15613000-8; Крупа ячнева ДК 021:2015: 15613000-8; Крупа гречана ДК 021:2015: 15613000-8;  Крупа вівсяна(геркулес) ДК 021:2015: 15613100-9;  Крупа кукурудзяна ДК 021:2015: 15613311-1; Рис  ДК 021:2015: 15614000-5; Пшоно ДК 021:2015: 15613000-8; Борошно пшеничне цільнозернове ДК 021:2015: 15612110-5; Борошно кукурудзяне ДК 021:2015: 15612210-6; Борошно пшеничне в\г ДК 021:2015: 15612100-2; Сочевиця – ДК 021:2015: 15613000-8; Булгур  ДК 021:2015: 15613000-8; Кус-кус ДК 021:2015: 15613000-8</t>
  </si>
  <si>
    <t>Крупи</t>
  </si>
  <si>
    <t>Крупи різні</t>
  </si>
  <si>
    <t>Крупи та борошно</t>
  </si>
  <si>
    <t>Кріопробірка 5 мл, Зонд з пластмасовим аплікатором, без пробірки, стерильний для забору матеріалу методом ПЛР</t>
  </si>
  <si>
    <t>Кріпильні деталі</t>
  </si>
  <si>
    <t xml:space="preserve">Кріплення елементів бар’єрної огорожі дорожньої </t>
  </si>
  <si>
    <t>Крісла офісні; стільці для відвідувачів</t>
  </si>
  <si>
    <t>Курси підвищення кваліфікації молодших медичних спеціалістів з медичною освітою за кодом ДК 021:2015 – 80570000-0 Послуги з професійної підготовки у сфері підвищення кваліфікації (Відповідно до циклів).</t>
  </si>
  <si>
    <t>Курятина (стегно, філе)</t>
  </si>
  <si>
    <t>Кіловат</t>
  </si>
  <si>
    <t>Кіловат-година</t>
  </si>
  <si>
    <t>Кількість одиниць</t>
  </si>
  <si>
    <t>Кінологічний навчальний центр Державної прикордонної служби України</t>
  </si>
  <si>
    <t>Кіровоградська область</t>
  </si>
  <si>
    <t xml:space="preserve">ЛОТ №1  Розроблення проєктної документації з наданням висновку експертизи проєктної документації «Технiчне переоснащення ПЛ-0,38 кВ Л-1, Л-2, Л-3 по вул. Центральна, вул. В. Haripнa, вул. Набережна, вул. Привокзальна вiд КТП-11 с. Лука-Мелешкiвська Вiнницькоrо р-ну, Вiнницької областi (стадія Робочий проєкт) (Інвестиційна програма АТ «ВІННИЦЯОБЛЕНЕРГО» 2022 р., І розділ,п. І.2.1.1.17)
ЛОТ №2  Розроблення проєктної документації з наданням висновку експертизи проєктної документації «Технічне переоснащення ПЛ-0,38 кВ Л-1, Л-2, Л-3 по вул. Тиха, вул. Новоселів, вул. Б. Хмельницького, вул. Лісова, вул. Сонячна, вул. Л. Чайкіної, вул. Леонтовича, вул. Чкалова, вул. Приозерна, вул. Шевченка, вул. Л. Українки, вул. Садова від КТП-417 с. Сосонка Вінницького р-ну, Вінницької області» (стадія Робочий проєкт)
(Інвестиційна програма АТ «ВІННИЦЯОБЛЕНЕРГО» 2022 р., І розділ,п. І.2.1.1.11)
ЛОТ №3  Розроблення проєктної документації з наданням висновку експертизи проєктної документації «Технiчне переоснащення ПЛ-0,38 кВ Л-1, Л-2, Л-3 по вул. Культурна, вул. Миру, вул.Дерибасiвська, пров. Мирний, пров. Культурний вiд КТП-28 с. Тютьки Вiнницького р-ну, Вiнницької областi» (стадія Робочий проєкт) (Інвестиційна програма АТ «ВІННИЦЯОБЛЕНЕРГО» 2022 р., І розділ,п. І.2.1.1.14):ЛОТ №1  Розроблення проєктної документації з наданням висновку експертизи проєктної документації «Технiчне переоснащення ПЛ-0,38 кВ Л-1, Л-2, Л-3 по вул. Центральна, вул. В. Haripнa, вул. Набережна, вул. Привокзальна вiд КТП-11 с. Лука-Мелешкiвська Вiнницькоrо р-ну, Вiнницької областi (стадія Робочий проєкт) (Інвестиційна програма АТ «ВІННИЦЯОБЛЕНЕРГО» 2022 р., І розділ,п. І.2.1.1.17)
</t>
  </si>
  <si>
    <t xml:space="preserve">ЛОТ №1  Розроблення проєктної документації з наданням висновку експертизи проєктної документації «Технiчне переоснащення ПЛ-0,38 кВ Л-1, Л-2, Л-3 по вул. Центральна, вул. В. Haripнa, вул. Набережна, вул. Привокзальна вiд КТП-11 с. Лука-Мелешкiвська Вiнницькоrо р-ну, Вiнницької областi (стадія Робочий проєкт) (Інвестиційна програма АТ «ВІННИЦЯОБЛЕНЕРГО» 2022 р., І розділ,п. І.2.1.1.17)
ЛОТ №2  Розроблення проєктної документації з наданням висновку експертизи проєктної документації «Технічне переоснащення ПЛ-0,38 кВ Л-1, Л-2, Л-3 по вул. Тиха, вул. Новоселів, вул. Б. Хмельницького, вул. Лісова, вул. Сонячна, вул. Л. Чайкіної, вул. Леонтовича, вул. Чкалова, вул. Приозерна, вул. Шевченка, вул. Л. Українки, вул. Садова від КТП-417 с. Сосонка Вінницького р-ну, Вінницької області» (стадія Робочий проєкт)
(Інвестиційна програма АТ «ВІННИЦЯОБЛЕНЕРГО» 2022 р., І розділ,п. І.2.1.1.11)
ЛОТ №3  Розроблення проєктної документації з наданням висновку експертизи проєктної документації «Технiчне переоснащення ПЛ-0,38 кВ Л-1, Л-2, Л-3 по вул. Культурна, вул. Миру, вул.Дерибасiвська, пров. Мирний, пров. Культурний вiд КТП-28 с. Тютьки Вiнницького р-ну, Вiнницької областi» (стадія Робочий проєкт) (Інвестиційна програма АТ «ВІННИЦЯОБЛЕНЕРГО» 2022 р., І розділ,п. І.2.1.1.14):ЛОТ №2  Розроблення проєктної документації з наданням висновку експертизи проєктної документації «Технічне переоснащення ПЛ-0,38 кВ Л-1, Л-2, Л-3 по вул. Тиха, вул. Новоселів, вул. Б. Хмельницького, вул. Лісова, вул. Сонячна, вул. Л. Чайкіної, вул. Леонтовича, вул. Чкалова, вул. Приозерна, вул. Шевченка, вул. Л. Українки, вул. Садова від КТП-417 с. Сосонка Вінницького р-ну, Вінницької області» (стадія Робочий проєкт)
(Інвестиційна програма АТ «ВІННИЦЯОБЛЕНЕРГО» 2022 р., І розділ,п. І.2.1.1.11)
</t>
  </si>
  <si>
    <t xml:space="preserve">ЛОТ №1  Розроблення проєктної документації з наданням висновку експертизи проєктної документації «Технiчне переоснащення ПЛ-0,38 кВ Л-1, Л-2, Л-3 по вул. Центральна, вул. В. Haripнa, вул. Набережна, вул. Привокзальна вiд КТП-11 с. Лука-Мелешкiвська Вiнницькоrо р-ну, Вiнницької областi (стадія Робочий проєкт) (Інвестиційна програма АТ «ВІННИЦЯОБЛЕНЕРГО» 2022 р., І розділ,п. І.2.1.1.17)
ЛОТ №2  Розроблення проєктної документації з наданням висновку експертизи проєктної документації «Технічне переоснащення ПЛ-0,38 кВ Л-1, Л-2, Л-3 по вул. Тиха, вул. Новоселів, вул. Б. Хмельницького, вул. Лісова, вул. Сонячна, вул. Л. Чайкіної, вул. Леонтовича, вул. Чкалова, вул. Приозерна, вул. Шевченка, вул. Л. Українки, вул. Садова від КТП-417 с. Сосонка Вінницького р-ну, Вінницької області» (стадія Робочий проєкт)
(Інвестиційна програма АТ «ВІННИЦЯОБЛЕНЕРГО» 2022 р., І розділ,п. І.2.1.1.11)
ЛОТ №3  Розроблення проєктної документації з наданням висновку експертизи проєктної документації «Технiчне переоснащення ПЛ-0,38 кВ Л-1, Л-2, Л-3 по вул. Культурна, вул. Миру, вул.Дерибасiвська, пров. Мирний, пров. Культурний вiд КТП-28 с. Тютьки Вiнницького р-ну, Вiнницької областi» (стадія Робочий проєкт) (Інвестиційна програма АТ «ВІННИЦЯОБЛЕНЕРГО» 2022 р., І розділ,п. І.2.1.1.14):ЛОТ №3  Розроблення проєктної документації з наданням висновку експертизи проєктної документації «Технiчне переоснащення ПЛ-0,38 кВ Л-1, Л-2, Л-3 по вул. Культурна, вул. Миру, вул.Дерибасiвська, пров. Мирний, пров. Культурний вiд КТП-28 с. Тютьки Вiнницького р-ну, Вiнницької областi» (стадія Робочий проєкт) (Інвестиційна програма АТ «ВІННИЦЯОБЛЕНЕРГО» 2022 р., І розділ,п. І.2.1.1.14) </t>
  </si>
  <si>
    <t>ЛОТ №1 Розроблення проєктної документації «Технічне переоснащення ПЛ-0,38 кВ Л-1, Л-2 по вул. Стеценка, пл. Перемоги, вул. Леонтовича від КТП-258 в смт. Сутиски Вінницького р-ну, Вінницької області» (стадія Робочий проєкт) (Інвестиційна програма АТ «ВІННИЦЯОБЛЕНЕРГО» 2022 р., І розділ,п. І.2.1.1.27)
ЛОТ №2 Розроблення проєктної документації «Технічне переоснащення ПЛ-0,38 кВ Л-1, Л-2 по вул. Тартачна, вул. Заводська від КТП-525 в м. Тульчин Тульчинського р-ну, Вінницької області» (стадія Робочий проєкт) 
(Інвестиційна програма АТ «ВІННИЦЯОБЛЕНЕРГО» 2022 р., І розділ,п. І.2.1.1.43)
ЛОТ №3  Розроблення проєктної документації «Технічне переоснащення ПЛ-0,38 кВ Л-1, Л-2, Л-3 по вул. Некрасова, вул. Ломоносова, вул. Острозького, пров. Некрасова від ЩТП-72 в м. Липовець Вінницького р-ну, Вінницької області» (стадія Робочий проєкт) (Інвестиційна програма АТ «ВІННИЦЯОБЛЕНЕРГО» 2022 р., І розділ,п. І.2.1.1.32)
:Розроблення проєктної документації «Технічне переоснащення ПЛ-0,38 кВ Л-1, Л-2 по вул. Стеценка, пл. Перемоги, вул. Леонтовича від КТП-258 в смт. Сутиски Вінницького р-ну, Вінницької області» (стадія Робочий проєкт) (Інвестиційна програма АТ «ВІННИЦЯОБЛЕНЕРГО» 2022 р., І розділ, п. І.2.1.1.27)</t>
  </si>
  <si>
    <t>ЛОТ №1 Розроблення проєктної документації «Технічне переоснащення ПЛ-0,38 кВ Л-1, Л-2 по вул. Стеценка, пл. Перемоги, вул. Леонтовича від КТП-258 в смт. Сутиски Вінницького р-ну, Вінницької області» (стадія Робочий проєкт) (Інвестиційна програма АТ «ВІННИЦЯОБЛЕНЕРГО» 2022 р., І розділ,п. І.2.1.1.27)
ЛОТ №2 Розроблення проєктної документації «Технічне переоснащення ПЛ-0,38 кВ Л-1, Л-2 по вул. Тартачна, вул. Заводська від КТП-525 в м. Тульчин Тульчинського р-ну, Вінницької області» (стадія Робочий проєкт) 
(Інвестиційна програма АТ «ВІННИЦЯОБЛЕНЕРГО» 2022 р., І розділ,п. І.2.1.1.43)
ЛОТ №3  Розроблення проєктної документації «Технічне переоснащення ПЛ-0,38 кВ Л-1, Л-2, Л-3 по вул. Некрасова, вул. Ломоносова, вул. Острозького, пров. Некрасова від ЩТП-72 в м. Липовець Вінницького р-ну, Вінницької області» (стадія Робочий проєкт) (Інвестиційна програма АТ «ВІННИЦЯОБЛЕНЕРГО» 2022 р., І розділ,п. І.2.1.1.32)
:Розроблення проєктної документації «Технічне переоснащення ПЛ-0,38 кВ Л-1, Л-2 по вул. Тартачна, вул. Заводська від КТП-525 в м. Тульчин Тульчинського р-ну, Вінницької області» (стадія Робочий проєкт) (Інвестиційна програма АТ «ВІННИЦЯОБЛЕНЕРГО» 2022 р., І розділ, п. І.2.1.1.43)</t>
  </si>
  <si>
    <t>ЛОТ №1 Розроблення проєктної документації «Технічне переоснащення ПЛ-0,38 кВ Л-1, Л-2 по вул. Стеценка, пл. Перемоги, вул. Леонтовича від КТП-258 в смт. Сутиски Вінницького р-ну, Вінницької області» (стадія Робочий проєкт) (Інвестиційна програма АТ «ВІННИЦЯОБЛЕНЕРГО» 2022 р., І розділ,п. І.2.1.1.27)
ЛОТ №2 Розроблення проєктної документації «Технічне переоснащення ПЛ-0,38 кВ Л-1, Л-2 по вул. Тартачна, вул. Заводська від КТП-525 в м. Тульчин Тульчинського р-ну, Вінницької області» (стадія Робочий проєкт) 
(Інвестиційна програма АТ «ВІННИЦЯОБЛЕНЕРГО» 2022 р., І розділ,п. І.2.1.1.43)
ЛОТ №3  Розроблення проєктної документації «Технічне переоснащення ПЛ-0,38 кВ Л-1, Л-2, Л-3 по вул. Некрасова, вул. Ломоносова, вул. Острозького, пров. Некрасова від ЩТП-72 в м. Липовець Вінницького р-ну, Вінницької області» (стадія Робочий проєкт) (Інвестиційна програма АТ «ВІННИЦЯОБЛЕНЕРГО» 2022 р., І розділ,п. І.2.1.1.32)
:Розроблення проєктної документації «Технічне переоснащення ПЛ-0,38 кВ Л-1, Л-2, Л-3 по вул. Некрасова, вул. Ломоносова, вул. Острозького, пров. Некрасова від ЩТП-72 в м. Липовець Вінницького р-ну, Вінницької області» (стадія Робочий проєкт) (Інвестиційна програма АТ «ВІННИЦЯОБЛЕНЕРГО» 2022 р., І розділ, п. І.2.1.1.32)</t>
  </si>
  <si>
    <t>ЛЬВІВСЬКА ДИРЕКЦІЯ АКЦІОНЕРНОГО ТОВАРИСТВА "УКРПОШТА"</t>
  </si>
  <si>
    <t>Лабораторні реактиви</t>
  </si>
  <si>
    <t xml:space="preserve">Лабораторні реактиви  (ДК 021:2015: 33690000-3 Лікарські засоби різні) </t>
  </si>
  <si>
    <t>Лабораторні реактиви ( СPV - 33696500-0) Код за ДК 021-2015- 33690000-3 — Лікарські засоби різні</t>
  </si>
  <si>
    <t>Легковий автомобіль</t>
  </si>
  <si>
    <t>Легковий автомобіль RenaultDuster</t>
  </si>
  <si>
    <t>Летичівський ліцей №3</t>
  </si>
  <si>
    <t>Лиманський "Зеленбуд"</t>
  </si>
  <si>
    <t>Липоводолинська селищна рада</t>
  </si>
  <si>
    <t xml:space="preserve">Лопаткова частина свинини (заморожена), філе куряче (заморожене), стегно куряче (заморожене) </t>
  </si>
  <si>
    <t>Лот 3 – Gliclazide, Metformin, Tamoxifen:Лот 3</t>
  </si>
  <si>
    <t>Лот №1 М’ясо свинне охолоджене без кістки
Лот №2 м'ясо свійської птиці сухої заморозки (тушка курей патрана), печінка свійської птиці охолоджена:Лот №1 М’ясо свинне охолоджене без кістки</t>
  </si>
  <si>
    <t>Лот №1 М’ясо свинне охолоджене без кістки
Лот №2 м'ясо свійської птиці сухої заморозки (тушка курей патрана), печінка свійської птиці охолоджена:Лот №2 м'ясо свійської птиці сухої заморозки (тушка курей патрана)-3080кг, печінка свійської птиці охолоджена-770кг</t>
  </si>
  <si>
    <t>Лот №1 – (Електрокардіограф ЮКАРД-100 (або еквівалент) (НК 024:2019: 11407 Електро-кардіограф основного призначення), 
Лот №2 – Тест-смужки до глюкометра ( НК 024:2019:30221 Реагент швидкого тестування на глюкозу), тест система  для визначення тропоніну ( НК 024:2019:46989 Тропонін I IVD, набір, імунохромато-графічний аналіз, експрес-аналіз), тест-система для визначення D-дімеру ( НК 024:2019:46989  D-димер IVD, набір, імунохроматографічний тест (ІХТ), експрес-тест),:Лот №1 – (Електрокардіограф ЮКАРД-100 (або еквівалент) (НК 024:2019: 11407 Електро-кардіограф основного призначення),</t>
  </si>
  <si>
    <t>Лот №1 – (Електрокардіограф ЮКАРД-100 (або еквівалент) (НК 024:2019: 11407 Електро-кардіограф основного призначення), 
Лот №2 – Тест-смужки до глюкометра ( НК 024:2019:30221 Реагент швидкого тестування на глюкозу), тест система  для визначення тропоніну ( НК 024:2019:46989 Тропонін I IVD, набір, імунохромато-графічний аналіз, експрес-аналіз), тест-система для визначення D-дімеру ( НК 024:2019:46989  D-димер IVD, набір, імунохроматографічний тест (ІХТ), експрес-тест),:Лот №2 – Тест-смужки до глюкометра ( НК 024:2019:30221 Реагент швидкого тестування на глюкозу), тест система  для визначення тропоніну ( НК 024:2019:46989 Тропонін I IVD, набір, імунохромато-графічний аналіз, експрес-аналіз), тест-система для визначення D-дімеру ( НК 024:2019:46989  D-димер IVD, набір, імунохроматографічний тест (ІХТ), експрес-тест),</t>
  </si>
  <si>
    <t>Лубенська спеціалізована школа І-ІІІ ступенів №6 Лубенської міської ради Полтавської області</t>
  </si>
  <si>
    <t>Луганська митниця</t>
  </si>
  <si>
    <t>Луганська область</t>
  </si>
  <si>
    <t>Луганський державний університет внутрішніх справ імені Е.О. Дідоренка</t>
  </si>
  <si>
    <t>Львівська область</t>
  </si>
  <si>
    <t>Львівське комунальне підприємство "Львівелектротранс"</t>
  </si>
  <si>
    <t>Львівський національний університет імені Івана Франка</t>
  </si>
  <si>
    <t>Людино-година</t>
  </si>
  <si>
    <t>Лікарські засоби (Дитилін-біолік МНН: Suxamethonium; Атракуріум Ново МНН:Atracurium; Тіопентал Ліофілізат МНН: Thiopental), Тіопентал Ліофілізат МНН:Thiopental) Атропіну Сульфат МНН:Atropine), Ардуан Ліофілізат МНН: Pipecuronium bromide; Пропофол Кабі МНН: Propofol) ДК 021:2015: 33600000-6 «Фармацевтична продукція»</t>
  </si>
  <si>
    <t>Лікарські засоби за кодом ДК 021:2015: 33600000-6 Фармацевтична продукція (МНН: Вакцина проти сказу (Rabies, inactivated, whole virus), Антирабічний імуноглобулін (Rabies immunoglobulin))</t>
  </si>
  <si>
    <t>Лікарські засоби різні</t>
  </si>
  <si>
    <t>Лікарські засоби різні Лот 1. Тест-системи для проведення тестування на ВІЛ із застосуванням швидких тестів п.1.3 (30833 Швидкий тестовий пристрій для ідентифікації вірусу 1,2 імунодефіциту людини, 30833 Швидкий тестовий пристрій для ідентифікації вірусу 1,2 імунодефіциту людини, 30833 Швидкий тестовий пристрій для ідентифікації вірусу 1,2 імунодефіциту людини); Лот2 Тест-системи для проведення тестування на ВІЛ із застосуванням тест-систем ІФА п 1.3 (48445 ВІЛ 1 / ВІЛ 2 антигени /антитіла IVD, набір, імуноферментний аналіз, ІФА, 48475 ВІЛ1 антигени/антитіла IVD, контрольний матеріал):Лот 1. Тест-системи для проведення тестування на ВІЛ із застосуванням швидких тестів п.1.3</t>
  </si>
  <si>
    <t>Лікарські засоби різні Лот 1. Тест-системи для проведення тестування на ВІЛ із застосуванням швидких тестів п.1.3 (30833 Швидкий тестовий пристрій для ідентифікації вірусу 1,2 імунодефіциту людини, 30833 Швидкий тестовий пристрій для ідентифікації вірусу 1,2 імунодефіциту людини, 30833 Швидкий тестовий пристрій для ідентифікації вірусу 1,2 імунодефіциту людини); Лот2 Тест-системи для проведення тестування на ВІЛ із застосуванням тест-систем ІФА п 1.3 (48445 ВІЛ 1 / ВІЛ 2 антигени /антитіла IVD, набір, імуноферментний аналіз, ІФА, 48475 ВІЛ1 антигени/антитіла IVD, контрольний матеріал):Лот2 Тест-системи для проведення тестування на ВІЛ із застосуванням тест-систем ІФА п 1.3</t>
  </si>
  <si>
    <t>Лікарські засоби, МНН - Epinephrine, Ammonia, Metamizole sodium, Amitriptyline, Amitriptyline, Metamizole sodium, Bisoprololum, Haloperidol, Hydrocortisone, Glucose, Glucose, Glucose, Dexamethasone, Diclofenac, Drotaverine, Ibuprofen, captopril, Carbamazepine, Loperamide, Magnesium sulfate, Metoclopramide, Metronidazole, Mannitol, Naloxone, Sodium bicarbonate, Sodium thiosulfate, Sodium chloride, paracetamol, Ethanol, Prednisolone, Tranexamic acid, Doxycycline, Chlorhexidine, Ranitidine, Ceftriaxone, Hydrogen peroxide, Loratadine,   Lidocaine, Furosemide, Povidonum-iodum</t>
  </si>
  <si>
    <t>Лікарські засоби:Лікарські засоби згідно національного переліку</t>
  </si>
  <si>
    <t>Лікарські засоби:Лікарські засоби різні згідно переліку</t>
  </si>
  <si>
    <t>Ліцей "Надія" Львівської міської ради</t>
  </si>
  <si>
    <t>Ліцей №2 м. Немирова Немирівської міської ради</t>
  </si>
  <si>
    <t>М"ясо свинина в/г:М"ясо свинина в/г</t>
  </si>
  <si>
    <t>М'ясо</t>
  </si>
  <si>
    <t>М'ясо (м'ясо свинини охолоджене; куряче філе охолоджене; куряча четвертина заморожена)</t>
  </si>
  <si>
    <t>М'ясо (напівфабрикати м’ясні натуральні від комплексного ділення свинини за кулінарним призначенням, м’якушеві, безкісткові, заморожені; напівфабрикати м’ясні натуральні від комплексного ділення яловичини за кулінарним призначенням, м’якушеві, безкісткові, заморожені; напівфабрикати кулінарні із м’яса птиці (четвертинки курчат бройлерів) охолоджені; філе куряче охолоджене)</t>
  </si>
  <si>
    <t>М'ясо (свинина, яловичина)</t>
  </si>
  <si>
    <t>М'ясо куряче (тушки):М'ясо куряче (тушки)</t>
  </si>
  <si>
    <t>М'ясо птиці (стегно куряче) морожене</t>
  </si>
  <si>
    <t>М'ясо яловиче охолоджене, 2 с, четвертини курчати охолоджені</t>
  </si>
  <si>
    <t xml:space="preserve">М'ясо, ДК 021-2015 код 15110000-2 М’ясо (М’ясо яловичини, курятини та свинини)
</t>
  </si>
  <si>
    <t>МИГІЇВСЬКА СІЛЬСЬКА РАДА</t>
  </si>
  <si>
    <t>МИКОЛАЇВСЬКИЙ ОКРУЖНИЙ АДМІНІСТРАТИВНИЙ СУД</t>
  </si>
  <si>
    <t>МКП "Хмельницьктеплокомуненерго"</t>
  </si>
  <si>
    <t>МКП "Чернівцітеплокомуненерго"</t>
  </si>
  <si>
    <t>МУКАЧІВСЬКЕ МІСЬКЕ КОМУНАЛЬНЕ ПІДПРИЄМСТВО "ЦЕНТР КОНТРОЛЮ ЗА ТВАРИНАМИ"</t>
  </si>
  <si>
    <t>Макаронні вироби за ДК 021-2015 (CPV) 15850000-1 - Макаронні вироби</t>
  </si>
  <si>
    <t>Макіївська сільська рада</t>
  </si>
  <si>
    <t>Маріупольська громадська організація "Захист дітей війни"</t>
  </si>
  <si>
    <t>Маріупольське вище металургійне професійне училище</t>
  </si>
  <si>
    <t>Маріупольське комунальне підприємство зеленого будівництва</t>
  </si>
  <si>
    <t xml:space="preserve">Маска медична (код НК 024:2019-35177 Маска хірургічна, одноразового застосування), код ДК 021:2015 - 33140000-3 - Медичні матеріали </t>
  </si>
  <si>
    <t>Маска медична, код 33190000-8 за ДК 021:2015 «Медичне обладнання та вироби медичного призначення різні»</t>
  </si>
  <si>
    <t>Масло вершкове</t>
  </si>
  <si>
    <t>Масло вершкове 72,5% жиру</t>
  </si>
  <si>
    <t>Масло вершкове вагове жирністю не нижче 72,5%</t>
  </si>
  <si>
    <t>Масло солодковершкове</t>
  </si>
  <si>
    <t>Мастильні засоби (Оливи трансформаторні)</t>
  </si>
  <si>
    <t>Машини для обробки даних</t>
  </si>
  <si>
    <t>Машини для обробки даних (апаратна частина) 30210000-4 за ДК 021:2015  (Комп’ютери)</t>
  </si>
  <si>
    <t xml:space="preserve">Машини для термічної обробки матеріалів (термостат сухоповітряний ТС-80) </t>
  </si>
  <si>
    <t>Машини спеціального призначення різні (Машини очисні та ізолювальні)</t>
  </si>
  <si>
    <t>Медичне обладнання (Шприцевий насос; стаціонарний апарат підігріву рідин та розчинів; помпа для ентерального годування; ліжко (кушетка); стіл маніпуляційний; система протипролежнева; ростомір з ел.вагами; крісло-туалет; тумба приліжкова)</t>
  </si>
  <si>
    <t>Медичне обладнання та вироби медичного призначення різні</t>
  </si>
  <si>
    <t xml:space="preserve">Медичне обладнання та вироби медичного призначення різні
(Пробірки для ПЛР діагностики)
</t>
  </si>
  <si>
    <t>Медичне обладнання та вироби медичного призначення різні (медичні вироби)</t>
  </si>
  <si>
    <t>Медичне обладнання та вироби медичного призначення різні (шафа для ендоскопів)</t>
  </si>
  <si>
    <t xml:space="preserve">Медичне обладнання та вироби медичного призначення різні -за кодом CPV за ДК 021:2015 - 33190000-8 (Кювети  ECL) (за кодом НК 024:2019 – код 61032 - Кювету для лабораторного аналізатора ІВД, одноразового використання) </t>
  </si>
  <si>
    <t>Медичне обладнання та вироби медичного призначення інші:Лот 1. – Стоматологічне обладнання – 22 найменування</t>
  </si>
  <si>
    <t>Медичне обладнання та вироби медичного призначення інші:Лот 2. Стоматологічне обладнання (печі) – 2 найменування</t>
  </si>
  <si>
    <t>Медичне обладнання та вироби медичного призначення інші:Лот 3. Серветки стоматологічні – 2 найменування</t>
  </si>
  <si>
    <t>Медичні матеріали</t>
  </si>
  <si>
    <t xml:space="preserve">Медичні матеріали </t>
  </si>
  <si>
    <t>Медичні матеріали для потреб Комунального некомерційного підприємства Сумської обласної ради Сумський обласний клінічний онкологічний диспансер</t>
  </si>
  <si>
    <t>Медичні матеріали(вата, шприци, бинти, скарифікатор, пластир, шпатель, ланцети, серветка спиртова, катетори)</t>
  </si>
  <si>
    <t>Медичні послуги з проведення аналізів на визначення наркотичних речовин та алкоголю в біологічних рідинах людини (85145000-7) код за ДК 021:2015: 85140000-2 — Послуги у сфері охорони здоров’я різні</t>
  </si>
  <si>
    <t>Металопластикові двері з демонтажем та монтажем</t>
  </si>
  <si>
    <t>Механічні запасні частини</t>
  </si>
  <si>
    <t>Механічні запасні частини (ДК 021:2015:34320000-6: Механічні запасні частини, крім двигунів і частин двигунів)</t>
  </si>
  <si>
    <t>Миколаївська область</t>
  </si>
  <si>
    <t>Михайло - Лукашівська сільська рада</t>
  </si>
  <si>
    <t>Миючі засоби</t>
  </si>
  <si>
    <t>Модуль нагріву МН 120еко 130/120 кВт</t>
  </si>
  <si>
    <t>Мокрокалигірський психоневрологічний інтернат</t>
  </si>
  <si>
    <t>Молоко</t>
  </si>
  <si>
    <t>Молоко 2,5%:Молоко 2,5%</t>
  </si>
  <si>
    <t>Молоко коров'яче питне пастеризоване</t>
  </si>
  <si>
    <t>Молоко коров’яче питне пастеризоване</t>
  </si>
  <si>
    <t>Молоко коров’яче питне пастеризоване 2,5% жирн; згущене незбиране молоко з цукром 8,5% жиру.</t>
  </si>
  <si>
    <t>Молоко пастеризоване</t>
  </si>
  <si>
    <t>Молоко рідке тривалого зберігання (ультрапастерізоване), від 2,5% жиру, Молоко згущене  8,5% ДСТУ</t>
  </si>
  <si>
    <t>Молоко та вершки</t>
  </si>
  <si>
    <t>Молоко та вершки (молоко пастеризоване, сметана, кефір)</t>
  </si>
  <si>
    <t>Молоко, згущене молоко (код ДК 021:2015: 15510000-6 Молоко та вершки)</t>
  </si>
  <si>
    <t>Молочні продукти</t>
  </si>
  <si>
    <t>Молочні продукти (йогурт,сметана,кефір)</t>
  </si>
  <si>
    <t>Молочні продукти різні</t>
  </si>
  <si>
    <t>Монітор</t>
  </si>
  <si>
    <t>Морква, буряк, капуста білокачанна, капуста червоноголова, цибуля ріпчаста, цибуля зелена, огірок свіжий, перець болгарський свіжий, часник, корінь селери, гарбуз, петрушка (зелень), банан, апельсин, яблука, лимон, мандарин, груша, горіхи волоські чищені</t>
  </si>
  <si>
    <t>Морква, цибуля, капуста, буряк, зелена цибуля, помідори, кабачки, баклажани, огірки, перець болгарський, імбир, яблука, банани, апельсини, мандарини, абрикоси, виноград, полуниця, слива, груша, черешня, лимони, горіхи</t>
  </si>
  <si>
    <t>Морожена риба</t>
  </si>
  <si>
    <t>Музиківська сільська рада</t>
  </si>
  <si>
    <t>Мукачівське міське комунальне підприємство "Ремонтно-будівельне управління"</t>
  </si>
  <si>
    <t>Місце доставки</t>
  </si>
  <si>
    <t>Міське комунальне підприємство "Хмельницькводоканал"</t>
  </si>
  <si>
    <t>Міський, міжміський телефонний зв'язок, радіомовлення</t>
  </si>
  <si>
    <t>Мішки та пакети (Рюкзаки з подарунковим набором)</t>
  </si>
  <si>
    <t>М’ясні консерви</t>
  </si>
  <si>
    <t>М’ясо</t>
  </si>
  <si>
    <t>М’ясо (яловичина, куряче філе, куряча гомілка)</t>
  </si>
  <si>
    <t>М’ясо:  курятина, яловичина (охолоджені)</t>
  </si>
  <si>
    <t>М’ясопродукти</t>
  </si>
  <si>
    <t>НАЦІОНАЛЬНА МУЗИЧНА АКАДЕМІЯ УКРАЇНИ ІМЕНІ П.І. ЧАЙКОВСЬКОГО</t>
  </si>
  <si>
    <t>НАЦІОНАЛЬНИЙ УНІВЕРСИТЕТ ФІЗИЧНОГО ВИХОВАННЯ І СПОРТУ УКРАЇНИ</t>
  </si>
  <si>
    <t>НЕТІШИНСЬКА ЗАГАЛЬНООСВІТНЯ ШКОЛА І-ІІІ СТУПЕНІВ №4 НЕТІШИНСЬКОЇ МІСЬКОЇ РАДИ ХМЕЛЬНИЦЬКОЇ ОБЛАСТІ</t>
  </si>
  <si>
    <t>НИЖНЯНСЬКИЙ ОБЛАСНИЙ ПСИХОНЕВРОЛОГІЧНИЙ ІНТЕРНАТ</t>
  </si>
  <si>
    <t>НК 024:2019 – 32617 Система лапароскопічна, багаторазового використання</t>
  </si>
  <si>
    <t>НОВОАЙДАРСЬКИЙ ПРОФЕСІЙНИЙ АГРАРНИЙ ЛІЦЕЙ</t>
  </si>
  <si>
    <t>Набір реагентів для імунохроматографічного виявлення нуклеокапсидного антигену SARS-CoV-2 (Covid-19) та ангтигенів вірусів грипу А,В в біологічних рідинах</t>
  </si>
  <si>
    <t>Навчання працівників: Правила технічної експлуатації та правила безпечної експлуатації електроустановок споживачів</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</si>
  <si>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м. Зборів (архів))</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</si>
  <si>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м. Зборів)</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</si>
  <si>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Беримівці)</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</si>
  <si>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Бзовиця)</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</si>
  <si>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Гарбузів)</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</si>
  <si>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Гукалівці)</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</si>
  <si>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Кабарівці)</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</si>
  <si>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Оліїв)</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</si>
  <si>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Перепельники)</t>
  </si>
  <si>
    <t>Надання доступу до мережі Інтернет (адміністративні будинки Зборівської міської територіальної громади) (10 ЛОТІВ):Надання доступу до мережі Інтернет (адміністративний будинок в с. Ярославичі)</t>
  </si>
  <si>
    <t>Надання послуг з технічного обслуговування систем газопостачання та газового обладнання (крім ВОГ)</t>
  </si>
  <si>
    <t>Напівбрикети торф'яні</t>
  </si>
  <si>
    <t>Насос відцентровий свердловинний 380В 4.0кВт H 170 (110)м Q 180 (130)л/хв Ø102мм AQUATICA (DONGYIN) (7771563).Доставка товару здійснюється за рахунок постачальника</t>
  </si>
  <si>
    <t>Науково-дослідний інститут державного будівництва та місцевого самоврядування Національної академії правових наук України</t>
  </si>
  <si>
    <t>Нафта та дистиляти (бензин, дизельне паливо)</t>
  </si>
  <si>
    <t>Нафта і дистиляти</t>
  </si>
  <si>
    <t xml:space="preserve">Нафта і дистиляти </t>
  </si>
  <si>
    <t xml:space="preserve">Нафта і дистиляти (Бензин А – 92, дизельне паливо)
</t>
  </si>
  <si>
    <t>Нафта і дистиляти (Бензин А-92, дизпаливо)</t>
  </si>
  <si>
    <t>Нафта і дистиляти (дизпаливо)</t>
  </si>
  <si>
    <t>Нафта і дистиляти за кодом за ДК 021:2015 – 09130000-9:  Бензин А-92 (талони) за кодом ДК 09130000-3;  Дизельне паливо (талони) за кодом ДК 021-2015 - 09130000-9</t>
  </si>
  <si>
    <t>Нафтовий газ скраплений за ЄЗС ДК 021:2015: 09130000-9 - нафта і дистиляти</t>
  </si>
  <si>
    <t>Національна академія Державної прикордонної служби України імені Богдана Хмельницького</t>
  </si>
  <si>
    <t>Національна дитяча спеціалізована лікарня "Охматдит" МОЗ України</t>
  </si>
  <si>
    <t xml:space="preserve">Національний класифікатор "Єдиний закупівельний словник" ДК 021:2015 - 30190000-7 - Офісне устаткування та приладдя різне (папір для друку) </t>
  </si>
  <si>
    <t>Національний музей історії України у Другій світовій війні. Меморіальний комплекс.</t>
  </si>
  <si>
    <t>Національний природний парк "Дворічанський"</t>
  </si>
  <si>
    <t>Національний університет водного господарства та природокористування</t>
  </si>
  <si>
    <t>Немає лотів</t>
  </si>
  <si>
    <t>Нецінові критерії</t>
  </si>
  <si>
    <t>Ново-Білицький психоневрологічний інтернат для чоловіків</t>
  </si>
  <si>
    <t xml:space="preserve">Новомиргородська міська рада </t>
  </si>
  <si>
    <t>Новосавицький психоневрологічний будинок-інтернат</t>
  </si>
  <si>
    <t>Новосанжарський ліцей Новосанжарської селищної ради Полтавської області</t>
  </si>
  <si>
    <t>Новотроїцьке управління водного господарства</t>
  </si>
  <si>
    <t>Нотатки</t>
  </si>
  <si>
    <t>Ноутбуки, моноблок</t>
  </si>
  <si>
    <t>Ні</t>
  </si>
  <si>
    <t xml:space="preserve">ОБЛАСНЕ КОМУНАЛЬНЕ ПІДПРИЄМСТВО "МИКОЛАЇВОБЛТЕПЛОЕНЕРГО" </t>
  </si>
  <si>
    <t>ОКНП "Чернівецька лікарня швидкої медичної допомоги"</t>
  </si>
  <si>
    <t>ОЛЬГИНСЬКА СЕЛИЩНА ВЦА</t>
  </si>
  <si>
    <t>ОНЗ ЗЗСО І-ІІІступенів №1 ім.Т.Шевченка  м.Ямпіль</t>
  </si>
  <si>
    <t>Оброблені фрукти та овочі</t>
  </si>
  <si>
    <t xml:space="preserve">Оброблені фрукти та овочі  </t>
  </si>
  <si>
    <t>Оброблені фрукти та овочі в асортименті (код за ЄЗС ДК 021:2015: 15330000-0 Оброблені фрукти та овочі)</t>
  </si>
  <si>
    <t>Обслуговування автоматичної пожежної сигналізації об'єкту та  системи оповіщення про пожежу</t>
  </si>
  <si>
    <t>Обслуговування вузлів тепла</t>
  </si>
  <si>
    <t>Овочева, плодова консервація</t>
  </si>
  <si>
    <t>Овочі</t>
  </si>
  <si>
    <t>Овочі та фрукти</t>
  </si>
  <si>
    <t>Овочі та фрукти   (ДК 021:2015     03220000-9	Овочі, фрукти та горіхи)</t>
  </si>
  <si>
    <t>Овочі, фрукти та горіхи</t>
  </si>
  <si>
    <t>Овочі, фрукти та горіхи ( фрукти)</t>
  </si>
  <si>
    <t>Овочі, фрукти та горіхи (корнеплідні)</t>
  </si>
  <si>
    <t>Овочі, фрукти та горіхи (часник свіжий; буряк червоний; морква свіжа; цибуля ріпчаста; помідори; огірки свіжі; капуста біло-качанна;  хрін; кріп; петрушка; корінь петрушки; гарбуз; кабачок;  яблука свіжі; порлуниця; черешня; редиска.)</t>
  </si>
  <si>
    <t>Овочі, фрукти та горіхи(капуста білокачанна,цибуля,морква,буряк столовий,помідори,огірки,редиска,лимон,мандарини,банани,зелень в асортименті)</t>
  </si>
  <si>
    <t>Овочі,фрукти</t>
  </si>
  <si>
    <t>Овочі,фрукти  та горіхи</t>
  </si>
  <si>
    <t>Оголошена</t>
  </si>
  <si>
    <t>Огірки квашені, помідори квашені, капуста квашена, чорнослив, морожені фрукти (вишня, малина, полуниця), горошок зелений  свіжоморожений, сухофрукти (компотна суміш), родзинки, курага, ДК 021:2015 - 15330000-0  Оброблені фрукти та овочі</t>
  </si>
  <si>
    <t>Одеська область</t>
  </si>
  <si>
    <t>Одеський національний університет ім. І.І. Мечникова</t>
  </si>
  <si>
    <t>Одеський обласний центр зайнятості</t>
  </si>
  <si>
    <t>Одиниця виміру</t>
  </si>
  <si>
    <t>Окрема комендатура охорони і забезпечення Державної прикордонної служби України (військова частина 1498)</t>
  </si>
  <si>
    <t>Олевська міська рада</t>
  </si>
  <si>
    <t>Олія</t>
  </si>
  <si>
    <t xml:space="preserve">Олія соняшникова рафінована  </t>
  </si>
  <si>
    <t>Опорний заклад Теплицької селищної ради "Теплицька загальноосвітня школа І-ІІІ ступенів №2"</t>
  </si>
  <si>
    <t>Орган державної влади "Департамент капітального будівництва Сумської обласної державної адміністрації"</t>
  </si>
  <si>
    <t>Ордена "Знак Пошани" вище професійне училище № 75</t>
  </si>
  <si>
    <t>Орлівський ліцей Березнівської міської ради Рівненського району Рівненської області</t>
  </si>
  <si>
    <t>Освітні послуги для підвищення кваліфікації лікарів</t>
  </si>
  <si>
    <t>Оселедець солений, скумбрія солена.</t>
  </si>
  <si>
    <t>Оселедець солоний</t>
  </si>
  <si>
    <t>Оселедець солоний, скумбрія копчена за ДК 021-2015 (CPV) 15230000-9 - Сушена чи солена риба; риба в розсолі; копчена риба</t>
  </si>
  <si>
    <t>Основні неорганічні хімічні речовини (сода харчова, монокальційфосфат)</t>
  </si>
  <si>
    <t>Офісне устаткування та приладдя різне</t>
  </si>
  <si>
    <t>Офісне устаткування та приладдя різне (папір офісний для друку)</t>
  </si>
  <si>
    <t>Охорона громадського порядку та безпеки на об’єкті ТОВ «КРЕМЕНЧУЦЬКА ТЕЦ» за кодом ДК 021:2015 – 75240000-0 – Послуги із забезпечення громадської безпеки, охорони правопорядку та громадського порядку</t>
  </si>
  <si>
    <t>Охоронні послуги</t>
  </si>
  <si>
    <t>Охоронні послуги  (послуги по підтримці внутрішнього порядку охорони приміщень і майна дошкільного навчального закладу № 618 Деснянського району міста Києва)  Код згідно ДК 021:2015 (CPV:2008): 79710000-4</t>
  </si>
  <si>
    <t>Охоронні послуги за кодом CPV  за ДК 021:2015-79710000-4- (Цілодобовий контроль в центрі прийому тривожних сповіщень автоматичної пожежної сигналізації, реагування на тривожні сигнали охоронних систем та підтримання експлуатаційної придатності автоматичної   сигналізації, що встановлена в місцевих загальних судах міста Харкова та  Харківської області, код ДК 021:2015 - 79711000-1)</t>
  </si>
  <si>
    <t>Охоронні послуги код ДК 021-2015 79710000-4 (Послуги з охорони об’єктів та особистої охорони та послуги з моніторингу сигналів тривоги, що надходять з пристроїв охоронної сигналізації)</t>
  </si>
  <si>
    <t>Очікувана вартість всієї закупівлі</t>
  </si>
  <si>
    <t>Очікувана вартість лота</t>
  </si>
  <si>
    <t>Очікувана вартість, одиниця</t>
  </si>
  <si>
    <t>ПІВНІЧНЕ МІЖРЕГІОНАЛЬНЕ ГОЛОВНЕ УПРАВЛІННЯ ДЕРЖАВНОЇ СЛУЖБИ УКРАЇНИ З ПИТАНЬ БЕЗПЕЧНОСТІ ХАРЧОВИХ ПРОДУКТІВ ТА ЗАХИСТУ СПОЖИВАЧІВ НА ДЕРЖАВНОМУ КОРДОНІ</t>
  </si>
  <si>
    <t>ПІДПРИЄМСТВО ЕЛЕКТРОМЕРЕЖ ЗОВНІШНЬОГО ОСВІТЛЕННЯ "МІСЬКСВІТЛО"</t>
  </si>
  <si>
    <t>ПАПКИ</t>
  </si>
  <si>
    <t>ПАСІЧНЯНСЬКА СІЛЬСЬКА РАДА</t>
  </si>
  <si>
    <t>ПОВЧАНСЬКА СІЛЬСЬКА РАДА</t>
  </si>
  <si>
    <t>ПОЗАМІСЬКИЙ ДИТЯЧИЙ ЗАКЛАД ОЗДОРОВЛЕННЯ ТА ВІДПОЧИНКУ "ЧАЙКА" ХМЕЛЬНИЦЬКОЇ МІСЬКОЇ РАДИ"</t>
  </si>
  <si>
    <t>ПОЛТАВСЬКА ДИТЯЧА ХУДОЖНЯ ШКОЛА</t>
  </si>
  <si>
    <t>ПОЛТАВСЬКИЙ ДЕРЖАВНИЙ МЕДИЧНИЙ УНІВЕРСИТЕТ</t>
  </si>
  <si>
    <t>ПОЛТАВСЬКИЙ МІСЬКИЙ ПАРК КУЛЬТУРИ ТА ВІДПОЧИНКУ "ПЕРЕМОГА"</t>
  </si>
  <si>
    <t>ПОЛЯНИЦЬКИЙ ЗАКЛАД ДОШКІЛЬНОЇ ОСВІТИ (ДИТЯЧИЙ САДОК) "ЛАСТІВОЧКА" ПОЛЯНИЦЬКОЇ СІЛЬСЬКОЇ РАДИ  НАДВІРНЯНСЬКОГО РАЙОНУ ІВАНО-ФРАНКІВСЬКОЇ ОБЛАСТІ</t>
  </si>
  <si>
    <t>ПРАТ "РІВНЕОБЛЕНЕРГО"</t>
  </si>
  <si>
    <t>ПРЕОБРАЖЕНСЬКА ГІМНАЗІЯ "ОСНОВА" ПРЕОБРАЖЕНСЬКОЇ СІЛЬСЬКОЇ РАДИ</t>
  </si>
  <si>
    <t>ПРИВАТНЕ АКЦІОНЕРНЕ ТОВАРИСТВО "АКЦІОНЕРНА КОМПАНІЯ "КИЇВВОДОКАНАЛ"</t>
  </si>
  <si>
    <t>ПРИВАТНЕ АКЦІОНЕРНЕ ТОВАРИСТВО "ВОЛИНЬОБЛЕНЕРГО"</t>
  </si>
  <si>
    <t>ПРИВАТНЕ АКЦІОНЕРНЕ ТОВАРИСТВО "ЛЬВІВОБЛЕНЕРГО"</t>
  </si>
  <si>
    <t>ПРИВАТНЕ АКЦІОНЕРНЕ ТОВАРИСТВО "НАЦІОНАЛЬНА ЕНЕРГЕТИЧНА КОМПАНІЯ "УКРЕНЕРГО"</t>
  </si>
  <si>
    <t>ПРИВАТНЕ АКЦІОНЕРНЕ ТОВАРИСТВО "ПІДПРИЄМСТВО З ЕКСПЛУАТАЦІЇ ЕЛЕКТРИЧНИХ МЕРЕЖ "ЦЕНТРАЛЬНА ЕНЕРГЕТИЧНА КОМПАНІЯ"</t>
  </si>
  <si>
    <t>ПРИСИВАСЬКА СІЛЬСЬКА РАДА</t>
  </si>
  <si>
    <t>ПРОФЕСІЙНО - ТЕХНІЧНЕ УЧИЛИЩЕ № 71</t>
  </si>
  <si>
    <t>ПУБЛІЧНЕ АКЦІОНЕРНЕ ТОВАРИСТВО "ЗАПОРІЖЖЯОБЛЕНЕРГО"</t>
  </si>
  <si>
    <t>ПУБЛІЧНЕ АКЦІОНЕРНЕ ТОВАРИСТВО "ЧЕРКАСИОБЛЕНЕРГО"</t>
  </si>
  <si>
    <t>Паливний насос високого тиску, форсунки до екскаватора Caterpillar-428С (ДК 021:2015 код 34310000-3 Двигуни та їх частини)</t>
  </si>
  <si>
    <t>Паливно-мастильні матеріали (дизельне паливо, бензин А-92)</t>
  </si>
  <si>
    <t>Паливні пелети з лузги соняшника</t>
  </si>
  <si>
    <t>Паливо</t>
  </si>
  <si>
    <t>Паливо дизельне</t>
  </si>
  <si>
    <t>Папір А-4</t>
  </si>
  <si>
    <t>Папір для друку</t>
  </si>
  <si>
    <t>Папір для друку А4</t>
  </si>
  <si>
    <t>Папір для друку А4/80 (ДК 021:2015-30190000-7 – Офісне устаткування та приладдя різне)</t>
  </si>
  <si>
    <t>Папір офісний А4 для Управління освіти Шевченківської районної в місті Києві державної адміністрації</t>
  </si>
  <si>
    <t>Папір офісний формату А4</t>
  </si>
  <si>
    <t>Папір рулонний газетний</t>
  </si>
  <si>
    <t>Парусина</t>
  </si>
  <si>
    <t>Парфуми, засоби гігієни та презервативи</t>
  </si>
  <si>
    <t>Перевірка витрат Грантового договору HUSKROUA/1702/8.2/0080 щодо реалізації проекту "Інфекційні хвороби не мають кордонів" в рамках Програми транскордонного співробітництва ЄІС "Угорщина-Словаччина-Румунія-Україна 2014-2020" (ДК 021:2015 - 79210000-9 Бухгалтерські та аудиторські послуги)</t>
  </si>
  <si>
    <t>Передплата українських періодичних друкованих видань</t>
  </si>
  <si>
    <t>Періодичні видання</t>
  </si>
  <si>
    <t>Періодичні видання України</t>
  </si>
  <si>
    <t>Печиво сухе, печиво пісочне, здобне, пряники, вафлі, сухарі панірувальні.</t>
  </si>
  <si>
    <t>Печиво цукрове, печиво вівсяне</t>
  </si>
  <si>
    <t>Печінка яловича охолоджена, сардельки І с, варені</t>
  </si>
  <si>
    <t>Питна вода (бутиль 18,9-19л) оборотна тара</t>
  </si>
  <si>
    <t xml:space="preserve">Пластмасові вироби
(посуд пластиковий лабораторний)
</t>
  </si>
  <si>
    <t>Поводження з побутовими відходами (код ДК 021:2015 - 90510000-5 - Утилізація/видалення сміття та поводження зі сміттям)</t>
  </si>
  <si>
    <t xml:space="preserve">Повірка газових лічильників 
</t>
  </si>
  <si>
    <t>Подарункові набори (Подарункові набори для осіб, яким виповнилося 90, 95 та 100 років  ( ковдри з холлофайбера та рушники махрові банні))</t>
  </si>
  <si>
    <t>Поживні середовища</t>
  </si>
  <si>
    <t>Покажчик висоти УВО-М1АИ</t>
  </si>
  <si>
    <t>Покажчик швидкосты та числа М УСО-М1И</t>
  </si>
  <si>
    <t>Покупка підгузок та пелюшок</t>
  </si>
  <si>
    <t>Полтавська область</t>
  </si>
  <si>
    <t>Поліетиленові мішки та пакети для сміття (Пакети для сміття 160л, 35л).</t>
  </si>
  <si>
    <t>Посилання на закупівлю</t>
  </si>
  <si>
    <t>Послуг з заправки/відновлення картриджів та технічного обслуговування друкарської техніки</t>
  </si>
  <si>
    <t>Послуга з визначення ринкової вартості приміщень нежитлової будівлі, що розташована по проспекту Миру, 1-І/10, смт. Тарутине, Болградського району, Одеської області, а саме: приміщення 2-1 «Торгівельна зала» площею 49,1 кв.м., приміщення 2-2 «Торгівельна зала» площею 249,6 кв.м., приміщення 2-3 «Тамбур» площею 6.6 кв.м., приміщення 2-4 «Санвузол» площею 2,7 кв.м., всього загальною площею 308,5 кв.м.</t>
  </si>
  <si>
    <t>Послуга з розширення програмного комплексу «IS-pro», інформаційні та консультаційні послуги із впровадження, налаштування та супроводження програмного комплексу «IS-pro»</t>
  </si>
  <si>
    <t>Послуга з технічного обслуговування системи пожежної сигналізації у блоках А та Б код ДК ЄЗС 015:2021 - 50410000-2 — Послуги з ремонту і технічного обслуговування вимірювальних, випробувальних і контрольних приладів</t>
  </si>
  <si>
    <t>Послуга з утримання притулку для тварин та регулювання чисельності безпритульних (бродячих) тварин (собак)</t>
  </si>
  <si>
    <t>Послуги  з утримання в чистоті приміщень</t>
  </si>
  <si>
    <t>Послуги відпочивально-розважальних комплексів
(Послуги з організації та проведення масових заходів національно-патріотичного спрямування)</t>
  </si>
  <si>
    <t>Послуги громадського телефонного зв’язку</t>
  </si>
  <si>
    <t>Послуги з вивезення ТПВ</t>
  </si>
  <si>
    <t>Послуги з вивезення твердих побутових відходів</t>
  </si>
  <si>
    <t>Послуги з вивезення, та захоронення твердих побутових відходів відходів м. Дубровиця</t>
  </si>
  <si>
    <t>Послуги з вивезення, та захоронення твердих побутових відходів відходів м. Овруч</t>
  </si>
  <si>
    <t>Послуги з вивезення, та захоронення твердих побутових відходів відходів смт, Іванків</t>
  </si>
  <si>
    <t>Послуги з вивезення, та захоронення твердих побутових відходів м. Житомир</t>
  </si>
  <si>
    <t xml:space="preserve">Послуги з висвітлення діяльності Хмельницької обласної ради у друкованих виданнях
</t>
  </si>
  <si>
    <t>Послуги з висвітлення діяльності виконавчого комітету Шосткинської міської ради на радіо</t>
  </si>
  <si>
    <t>Послуги з гістологічного дослідження біопсійного та операційного матеріалу</t>
  </si>
  <si>
    <t>Послуги з дезінфікування та витравлювання (Послуги з акарицидних обробок)</t>
  </si>
  <si>
    <t>Послуги з дезінфікування та витравлювання (Послуги з ларвіцидних обробок)</t>
  </si>
  <si>
    <t>Послуги з доступу до мережі Інтернет (основний канал)</t>
  </si>
  <si>
    <t>Послуги з діагностики, технічного обслуговування, ремонту автомобільної та тракторної техніки</t>
  </si>
  <si>
    <t>Послуги з заправки та відновлення картриджів, ремонт та налаштування персональних комп'ютерів (50310000-1 - Технічне обслуговування і ремонт офісної техніки)</t>
  </si>
  <si>
    <t>Послуги з комплексного прибирання приміщень адміністративної будівлі та прибудинкової території Департаменту земельних ресурсів виконавчого органу Київської міської ради (Київської міської державної адміністрації)</t>
  </si>
  <si>
    <t>Послуги з контрольного геодезичного знімання закінченого будівництвом об’єкту «Будівництво майданчика зберігання кисню з підключенням до існуючих мереж кисне постачання по вул.Пашковського,4 у Лівобережному районі міста Маріуполя» (код ДК 021:2015 71250000-5 - Архітектурні, інженерні та геодезичні послуги)</t>
  </si>
  <si>
    <t>Послуги з миття автомобілів (ДК 021:2015 - 50110000-9  - Послуги з ремонту і технічного обслуговування мототранспортних засобів і супутнього обладнання) (номенклатурна назва ДК 021:2015 - 50112300-6 - Послуги з миття автомобілів та подібні послуги)</t>
  </si>
  <si>
    <t>Послуги з моніторингу сигналів тривоги, що надходять з пристроїв охоронної сигналізації «ДК 021:2015: (CPV): Охоронні послуги (79710000- 4)»</t>
  </si>
  <si>
    <t>Послуги з нагляду за виконанням будівельних робіт(Технічний нагляд за виконанням будівельних робіт по об’єкту «Реконструкція будівлі та прилеглої території КНП «Смілянська міська лікарня» СМР за адресою: вул. Героїв Холодноярців, 82, м. Сміла, Черкаської області.)</t>
  </si>
  <si>
    <t>Послуги з надання доступу до мережі інтернет  (ДК 021-2015:72410000-7 «Послуги провайдерів»)</t>
  </si>
  <si>
    <t>Послуги з обов’язкового страхування від нещасних випадків на транспорті</t>
  </si>
  <si>
    <t>Послуги з обробки зелених насаджень від шкідників</t>
  </si>
  <si>
    <t>Послуги з обслуговування обладнання газових котлів та операторів котелень</t>
  </si>
  <si>
    <t>Послуги з організації гарячого харчування учнів закладів загальної середньої освіти з числа дітей пільгових категорій</t>
  </si>
  <si>
    <t>Послуги з організації харчування для учнів 1-4 класів та учнів пільгової категорії, ДК 021:2015 - 55320000-9 Послуги з організації харчування (13 лотів):Послуги з організації харчування для учнів 1-4 класів та учнів пільгової категорії, ДК 021:2015 - 55320000-9 Послуги з організації харчування (13 лотів)</t>
  </si>
  <si>
    <t>Послуги з організації харчування учнів 1-11 класів соціально незахищених та інших категорій у шкільній їдальні</t>
  </si>
  <si>
    <t>Послуги з організації харчування учнів Ямницького ліцею та вихованців дошкільного підрозділу Ямницького ліцею</t>
  </si>
  <si>
    <t>Послуги з охорони об'єктів та особистої охорони</t>
  </si>
  <si>
    <t>Послуги з перевезення вантажів вантажним транспортом</t>
  </si>
  <si>
    <t>Послуги з поводження з безпечними та небезпечними відходами, що утворюються в результаті господарської діяльності (Код згідно ДК 021:2015 "Єдиний закупівельний словник" - 90520000-8 - Послуги у сфері поводження з радіоактивними, токсичними, медичними та небезпечними відходами)</t>
  </si>
  <si>
    <t>Послуги з поводження з побутовими відходами</t>
  </si>
  <si>
    <t>Послуги з постачання примірників ліцензованої програмної продукції інформаційно-комунікаційної автоматизованої системи (підтримка управління освітнім процесом та організації дистанційного навчання) в електронній формі для закладів загальної середньої освіти Шевченківського району міста Києва</t>
  </si>
  <si>
    <t>Послуги з поточного ремонту вентиляційного обладнання харчоблоку в дошкільному навчальному закладі (яслах-садку) комбінованого типу № 147 Дарницького району м. Києва за адресою: вул. Олійника, 6 (ДК 021:2015 код 50710000-5 «Послуги з ремонту і технічного обслуговування електричного і механічного устаткування будівель»)</t>
  </si>
  <si>
    <t>Послуги з поточного ремонту обладнання басейну з заміною циркуляційного насосу великої чаші в загальноосвітньому навчальному закладі І-ІІІ ступенів гімназії міжнародних відносин № 323 з поглибленим вивченням англійської мови за адресою: вул. Олександра Мишуги, 5 (ДК 021:2015 код 50510000-3 «Послуги з ремонту і технічного обслуговування насосів, клапанів, кранів і металевих контейнерів»)</t>
  </si>
  <si>
    <t>Послуги з поточного ремонту пасажирського ліфта (ремонт електродвигуна), встановленого в житловому будинку за адресою: вул. Озерна, 30/51 (п.6, Рег.9454) в Оболонському районі м. Києва, код ДК 021:2015 – 50710000-5 — Послуги з ремонту і технічного обслуговування електричного і механічного устаткування будівель</t>
  </si>
  <si>
    <t>Послуги з поточного ремонту пасажирського ліфта (ремонт електродвигуна), встановленого в житловому будинку за адресою: проспект Героїв Сталінграда, 28 (п.2, Рег.13325) в Оболонському районі м. Києва, код ДК 021:2015 – 50710000-5 — Послуги з ремонту і технічного обслуговування електричного і механічного устаткування будівель</t>
  </si>
  <si>
    <t>Послуги з поточного ремонту пасажирського ліфта (ремонт електродвигуна), встановленого в житловому будинку за адресою: проспект Оболонський, 14-В (п.3, Рег.6947) в Оболонському районі м. Києва, код ДК 021:2015 – 50710000-5 — Послуги з ремонту і технічного обслуговування електричного і механічного устаткування будівель</t>
  </si>
  <si>
    <t>Послуги з поточного ремонту сміттєвих майданчиків в м. Вознесенськ Миколаївської області</t>
  </si>
  <si>
    <t>Послуги з прання медичної білизни</t>
  </si>
  <si>
    <t>Послуги з прання і сухого чищення</t>
  </si>
  <si>
    <t>Послуги з прання і сухого чищення (Прання білизни)</t>
  </si>
  <si>
    <t>Послуги з прибирання (Послуги з прибирання офісних приміщень)</t>
  </si>
  <si>
    <t>Послуги з прибирання приміщень адміністративних будівель та прибудинкових територій</t>
  </si>
  <si>
    <t>Послуги з прибирання, підмітання вулиць та утримання зелених зон вздовж доріг:Послуги з прибирання, підмітання вулиць та утримання зелених зон вздовж доріг</t>
  </si>
  <si>
    <t>Послуги з прибирання, підмітання вулиць та утримання зелених зон вздовж доріг:Утримання зелених зон</t>
  </si>
  <si>
    <t>Послуги з прибирання, підмітання вулиць та утримання зелених зон вздовж доріг:Утримання зелених зон вулиці  Корабельна</t>
  </si>
  <si>
    <t>Послуги з проведення аналізів крові (аналіз крові на антитіла до ВІЛ, гепатиту В та С)</t>
  </si>
  <si>
    <t>Послуги з проведення періодичних, профілактичних медичних оглядів працівників та медичних оглядів водіїв транспортних засобів (Послуги лікувальних закладів та супутні послуги код ДК 021:2015:85110000-3)</t>
  </si>
  <si>
    <t>Послуги з професійної підготовки у сфері охорони здоров’я  та  виїзний цикл курсів з удосконалення фізіотерапія (м/с фізіотерапевтичних відділень та кабінетів) на базі ДЗ ДССС «Джерело»</t>
  </si>
  <si>
    <t>Послуги з професійної підготовки у сфері підвищення кваліфікації</t>
  </si>
  <si>
    <t>Послуги з професійної підготовки у сфері підвищення кваліфікації педагогічних працівників закладів освіти Центрально-міського району</t>
  </si>
  <si>
    <t>Послуги з публікації (висвітлення) інформаційних матеріалів у засобах масової інформації</t>
  </si>
  <si>
    <t>Послуги з підвищення кваліфікації педагогічних працівників</t>
  </si>
  <si>
    <t>Послуги з підвищення кваліфікації, навчання медичного персоналу, ДК 021:2015-80560000-7 (Послуги з професійної підготовки у сфері охорони здоров’я та надання першої медичної допомоги)</t>
  </si>
  <si>
    <t>Послуги з підготовки до повірки, калібрування, повірки та ремонту теплолічильників СВТУ виробництва ТОВ “СЕМПАЛ” (код ДК 021:2015 - 50410000-2 Послуги з ремонту і технічного обслуговування вимірювальних, випробувальних і контрольних приладів)</t>
  </si>
  <si>
    <t>Послуги з ремонту ГТА "Терагам К-01"</t>
  </si>
  <si>
    <t>Послуги з ремонту джерела безперебійного живлення (ДБЖ) AROS Sentry MPS 160кВА/128кВт (зф:3ф) заводський номер обладнання P/N 6MPT16E00A MAT LN25AP946140001, 2009 року випуску</t>
  </si>
  <si>
    <t>Послуги з ремонту і технічного обслуговування медичного та хірургічного обладнання</t>
  </si>
  <si>
    <t>Послуги з ремонту і технічного обслуговування насосів, клапанів, кранів і металевих контейнерів (послуги з технічного обслуговування насосів)</t>
  </si>
  <si>
    <t>Послуги з ремонту і технічного обслуговування офісної, телекомунікаційної, комп’ютерної, та аудіовізуальої техніки</t>
  </si>
  <si>
    <t>Послуги з ремонту і технічного обслуговування протипожежного обладнання (за кодом ДК 021:2015: 50410000-2 Послуги з ремонту і технічного обслуговування вимірювальних, випробувальних і контрольних приладів )</t>
  </si>
  <si>
    <t>Послуги з ремонту і технічного обслуговування та переобладнання автотранспортних засобів з ГБО</t>
  </si>
  <si>
    <t>Послуги з розміщення інформаційних відеоматеріалів в ефірі місцевого телеканалу</t>
  </si>
  <si>
    <t>Послуги з розроблення проекту землеустрою щодо відведення земельної ділянки  площею 0,76235 га для будівництва та обслуговування будівель закладів охорони здоров’я та соціальної допомоги (обслуговування гаражів підрозділу санітарного транспорту) по вул. Бахмутський, 20а в Центральному районі м. Маріуполя</t>
  </si>
  <si>
    <t>Послуги з технічного нагляду на об'єкті: "Капітальний ремонт (утеплення житлового будинку) по вул. Садова, 1 в с. Новосілки, Фастівського району, Київської області</t>
  </si>
  <si>
    <t>Послуги з технічного нагляду на об'єкті: "Капітальний ремонт (утеплення житлового будинку) по вул. Садова, 5 в с. Новосілки, Фастівського району, Київської області"</t>
  </si>
  <si>
    <t>Послуги з технічного обслуговування автоматичних систем протипожежного захисту (автоматичної пожежної сигналізації)</t>
  </si>
  <si>
    <t>Послуги з технічного обслуговування внутрішньобудинкових систем опалення</t>
  </si>
  <si>
    <t>Послуги з технічного обслуговування вогнегасників</t>
  </si>
  <si>
    <t>Послуги з технічного обслуговування електричних мереж та електроустановок (ДК 021-2015: 50710000-5 - Послуги з ремонту і технічного обслуговування електричного і механічного устаткування будівель)</t>
  </si>
  <si>
    <t xml:space="preserve">Послуги з технічного обслуговування обладнання і чаші басейну  </t>
  </si>
  <si>
    <t>Послуги з технічного обслуговування систем вуличного освітлення Зорівської ОТГ</t>
  </si>
  <si>
    <t>Послуги з технічного обслуговування систем пожежної сигналізації та оповіщення про пожежу і цілодобового пожежного спостереження</t>
  </si>
  <si>
    <t>Послуги з технічного обслуговування та заправки картриджів до багатофункціональних пристроїв (код ДК  50310000-1 «Технічне обслуговування і ремонт офісної техніки»)</t>
  </si>
  <si>
    <t>Послуги з технічного обслуговування і ремонту офісної техніки</t>
  </si>
  <si>
    <t>Послуги з утримання та технічного обслуговування об’єктів вуличного освітлення</t>
  </si>
  <si>
    <t>Послуги з харчування дітей, потерпілих від Чорнобильської катастрофи, у навчальних закладах, розташованих на територіях радіоактивного  забруднення Білоцерківського району Київської області</t>
  </si>
  <si>
    <t>Послуги з інформатизації</t>
  </si>
  <si>
    <t>Послуги за підключення та користування мережею Інтернет</t>
  </si>
  <si>
    <t>Послуги зберігання зерна сільськогосподарських культур</t>
  </si>
  <si>
    <t>Послуги зі добровільного страхування здоров’я працівників медичних установ на випадок гострої респіраторної хвороби COVID-19, спричиненої коронавірусом SARS-CoV-2 (коронавірус) ДК 021:2015 «665100000-8 (66512200-4 Послуги зі страхування здоров’я)»</t>
  </si>
  <si>
    <t>Послуги зі зберегання майна (Ротор газової турбіни М701DAS (AMKGT-TGO-0432)</t>
  </si>
  <si>
    <t>Послуги зі створення мультимедійних онлайн уроків за професіями</t>
  </si>
  <si>
    <t>Послуги зі супроводження програмного забезпечення KBS. Облік бюджетної установи. Супроводження ПЗ Fredo звіт</t>
  </si>
  <si>
    <t>Послуги копіювання та друку документів Фонду державного майна України</t>
  </si>
  <si>
    <t>Послуги охорони території та об’єктів КНП «Хмельницький обласний протипухлинний центр» ХОР</t>
  </si>
  <si>
    <t>Послуги по вивезенню твердих побутових та харчових відходів</t>
  </si>
  <si>
    <t>Послуги по охороні Меморіального комплексу на 2022 рік (фізична охорона)</t>
  </si>
  <si>
    <t>Послуги по перевезенню громадян, що направляються для проходження строкової військової служби, військової служби за контрактом у Збройні Сили України та військовозобов’язані, що призиваються  на навчальні збори у 2022 році</t>
  </si>
  <si>
    <t>Послуги по перевезенню громадян, які  залучаються до виконання обов’язку щодо мобілізації на збірні пункти та у військові частини</t>
  </si>
  <si>
    <t>Послуги по спостереженню за об’єктами (тривожна сигналізація, послуги по спостереженню за об’єктами) (ДК 021:2015 – 79710000-4 -Охоронні послуги): тривожна сигналізація  ДК 021:2015 – 79714000-2 , послуги по спостереженню за об’єктами ДК 021:2015 – 79714000-2  Лот 1. Послуги по спостереженню за об’єктами (тривожна сигналізація, послуги по спостереженню за об’єктами) (ДК 021:2015 – 79710000-4 -Охоронні послуги):   тривожна сигналізація ДК 021:2015 – 79714000-2   Станції швидкої медичної допомоги м. Волновахи - ВСП КНП «Обласний центр екстреної медичної допомоги та медицини катастроф» (85700, Донецька область, м. Волноваха, вул. Героїв 51 ОМБр, будинок 17-В); Лот 2. Послуги по спостереженню за об’єктами (тривожна сигналізація, послуги по спостереженню за об’єктами) (ДК 021:2015 – 79710000-4 -Охоронні послуги): послуги по спостереженню за об’єктами ДК 021:2015 – 79714000-2 Станції швидкої медичної допомоги м. Волновахи - ВСП КН    П «Обласний центр екстреної медичної допомоги та медицини катастроф» (85700, Донецька область, м. Волноваха, вул. Героїв 51 ОМБр, будинок 17-В;    Станції швидкої медичної допомоги м. Краматорська - ВСП КНП «Обласний центр екстреної медичної допомоги та медицини катастроф» (84331, Донецька область, м. Краматорськ, вул. Остапа Вишні, будинок 24);     Станції швидкої медичної допомоги м.Маріуполя - ВСП КНП «Обласний центр екстреної медичної допомоги та медицини катастроф» (87506, Донецька область, м. Маріуполь, вул. Бахмутська,20 б);:Лот 1.  Послуги по спостереженню за об’єктами (тривожна сигналізація, послуги по спостереженню за об’єктами) (ДК 021:2015 – 79710000-4 -Охоронні послуги):   тривожна сигналізація  ДК 021:2015 – 79714000-2   Станції швидкої медичної допомоги м. Волновахи - ВСП КНП «Обласний центр екстреної медичної допомоги та медицини катастроф» (85700, Донецька область, м. Волноваха, вул. Героїв 51 ОМБр, будинок 17-В);</t>
  </si>
  <si>
    <t>Послуги по спостереженню за об’єктами (тривожна сигналізація, послуги по спостереженню за об’єктами) (ДК 021:2015 – 79710000-4 -Охоронні послуги): тривожна сигналізація  ДК 021:2015 – 79714000-2 , послуги по спостереженню за об’єктами ДК 021:2015 – 79714000-2  Лот 1. Послуги по спостереженню за об’єктами (тривожна сигналізація, послуги по спостереженню за об’єктами) (ДК 021:2015 – 79710000-4 -Охоронні послуги):   тривожна сигналізація ДК 021:2015 – 79714000-2   Станції швидкої медичної допомоги м. Волновахи - ВСП КНП «Обласний центр екстреної медичної допомоги та медицини катастроф» (85700, Донецька область, м. Волноваха, вул. Героїв 51 ОМБр, будинок 17-В); Лот 2. Послуги по спостереженню за об’єктами (тривожна сигналізація, послуги по спостереженню за об’єктами) (ДК 021:2015 – 79710000-4 -Охоронні послуги): послуги по спостереженню за об’єктами ДК 021:2015 – 79714000-2 Станції швидкої медичної допомоги м. Волновахи - ВСП КН    П «Обласний центр екстреної медичної допомоги та медицини катастроф» (85700, Донецька область, м. Волноваха, вул. Героїв 51 ОМБр, будинок 17-В;    Станції швидкої медичної допомоги м. Краматорська - ВСП КНП «Обласний центр екстреної медичної допомоги та медицини катастроф» (84331, Донецька область, м. Краматорськ, вул. Остапа Вишні, будинок 24);     Станції швидкої медичної допомоги м.Маріуполя - ВСП КНП «Обласний центр екстреної медичної допомоги та медицини катастроф» (87506, Донецька область, м. Маріуполь, вул. Бахмутська,20 б);:Лот 2. Послуги по спостереженню за об’єктами (тривожна сигналізація, послуги по спостереженню за об’єктами) (ДК 021:2015 – 79710000-4 -Охоронні послуги): послуги по спостереженню за об’єктами ДК 021:2015 – 79714000-2 Станції швидкої медичної допомоги м. Волновахи - ВСП КНП «Обласний центр екстреної медичної допомоги та медицини катастроф» (85700, Донецька область, м. Волноваха, вул. Героїв 51 ОМБр, будинок 17-В;    Станції швидкої медичної допомоги м. Краматорська - ВСП КНП «Обласний центр екстреної медичної допомоги та медицини катастроф» (84331, Донецька область, м. Краматорськ, вул. Остапа Вишні, будинок 24);     Станції швидкої медичної допомоги м.Маріуполя - ВСП КНП «Обласний центр екстреної медичної допомоги та медицини катастроф» (87506, Донецька область, м. Маріуполь, вул. Бахмутська,20 б);</t>
  </si>
  <si>
    <t>Послуги поводження з побутовими відходами</t>
  </si>
  <si>
    <t>Послуги поводження з побутовими відходами (Броди)</t>
  </si>
  <si>
    <t>Послуги поводження з побутовими відходами (Городок)</t>
  </si>
  <si>
    <t>Послуги поводження з побутовими відходами (Перемишляни)</t>
  </si>
  <si>
    <t>Послуги провайдерів</t>
  </si>
  <si>
    <t>Послуги радіомовлення (послуги радіомовлення)</t>
  </si>
  <si>
    <t>Послуги телефонного зв'язку та передачі даних</t>
  </si>
  <si>
    <t xml:space="preserve">Послуги телефонного зв`язку та передачі даних </t>
  </si>
  <si>
    <t>Послуги телефонного зв’язку та передачі даних</t>
  </si>
  <si>
    <t>Послуги телефонного зв’язку та передачі даних (телекомунікаційні послуги), а також послуги, пов’язані технологічно з телекомунікаційними послугами</t>
  </si>
  <si>
    <t>Послуги телефонного зв’язку, передавання даних і повідомлень (телекомунікаційні послуги), а також послуги, пов’язані технологічно з телекомунікаційними послугами (ДК 021:2015: 64210000-1 – Послуги телефонного зв’язку та передачі даних)</t>
  </si>
  <si>
    <t>Послуги у сфері лісівництва 
:Дрогобицьке  л-во,  Дрогобицька ОТГ . кв.34 , в.1,3 пл 0,8 га</t>
  </si>
  <si>
    <t>Послуги у сфері лісівництва 
:Дрогобицьке  л-во,  Дрогобицька ОТГ . кв.34, в.19,3 пл 1,0 га</t>
  </si>
  <si>
    <t>Послуги у сфері охорони здоров’я різні (85145000-7 Послуги медичних лабораторій (визначення етилового спирту в крові)).</t>
  </si>
  <si>
    <t>Послуги у сфері поводження з радіоактивними, токсичними, медичними та небезпечними відходами</t>
  </si>
  <si>
    <t>Послуги у сфері поводження з радіоактивними, токсичними, медичними та небезпечними відходами (код ДК 021:2015 90520000-8 - Послуги у сфері поводження з радіоактивними, токсичними, медичними та небезпечними відходами)</t>
  </si>
  <si>
    <t>Послуги у сфері поводження з твердими забруднюючими речовинами з суден</t>
  </si>
  <si>
    <t>Послуги харчування учнів:Лот №1:Послуги харчування учнів</t>
  </si>
  <si>
    <t xml:space="preserve">Послуги харчування учнів:Лот №2: Послуги харчування учнів </t>
  </si>
  <si>
    <t>Послуги цілодобового доступу по виділеному каналу зв'язку до мережі Інтернет</t>
  </si>
  <si>
    <t>Послуги цілодобового спостереження за пожежною автоматикою сигналізації та технічного обслуговування обладнання систем пожежної сигналізації 50413000-3</t>
  </si>
  <si>
    <t>Послуги із збирання, зберігання, перевезення (транспортування) та оброблення шляхом знешкодження небезпечних відходів</t>
  </si>
  <si>
    <t>Послуги із санітарно-гігієнічної обробки приміщень ДК 021:2015 90920000-2</t>
  </si>
  <si>
    <t>Послуги із супроводу програмного комплексу "ІС-ПРО" у складі: "Фінансовий облік", "Облік основних засобів", "Логістика", "Облік договорів" та навчання персоналу змінам щодо програмного комплексу</t>
  </si>
  <si>
    <t>Послуги із супроводу програмного комплексу «ІС-ПРО» у складі: «Облік заробітної плати» та навчання персоналу змінам щодо програмного комплексу</t>
  </si>
  <si>
    <t>Послуги, пов’язані з програмним забезпеченням (Обслуговування програмного комплексу автоматизації управління підприємством «ІС-ПРО» протягом 2022р)</t>
  </si>
  <si>
    <t>Послуги, пов’язані із системами та підтримкою (Лот 1: Послуги щодо підтримки комплексу «Автоматизована система ведення бухгалтерського обліку»; Лот 2: Послуги щодо підтримки комплексу «Автоматизована система «Державні закупівлі») 
:Послуги, пов’язані із системами та підтримкою (ЛОТ 1: Послуги щодо підтримки комплексу «Автоматизована система ведення бухгалтерського обліку»)</t>
  </si>
  <si>
    <t xml:space="preserve">Послуги, пов’язані із системами та підтримкою (Лот 1: Послуги щодо підтримки комплексу «Автоматизована система ведення бухгалтерського обліку»; Лот 2: Послуги щодо підтримки комплексу «Автоматизована система «Державні закупівлі») 
:Послуги, пов’язані із системами та підтримкою (Лот 2: Послуги щодо підтримки комплексу «Автоматизована система «Державні закупівлі») </t>
  </si>
  <si>
    <t>Постачання електричної енергії</t>
  </si>
  <si>
    <t>Постачання пакетів оновлення (компонент) до комп'ютерної програми "M.E.DOC" Модуль "M.E.DOC Звітність"</t>
  </si>
  <si>
    <t>Поточний ремонт абдомінального датчика до Ультразвукової системи Philips HD11XE</t>
  </si>
  <si>
    <t>Поточний ремонт дороги по вул.Надрічна в с.Острів в Червоноградській ОТГ Львівської області</t>
  </si>
  <si>
    <t>Поточний ремонт приміщення Тернопільського міського територіального центру соціального обслуговування населення</t>
  </si>
  <si>
    <t>Поточний ремонт приміщень будівлі УЗД, профмедкабінет Комунального некомерційного підприємства «Бориспільська багатопрофільна лікарня інтенсивного лікування» за адресою: по вул. Котляревського, 1 у м. Бориспіль, Київська область</t>
  </si>
  <si>
    <t>Поточний ремонт та технічне обслуговування засобів регулювання дорожнього руху (дорожні знаки) Краматорської ОТГ (50230000-6 Послуги з ремонту, технічного обслуговування дорожньої інфраструктури і пов’язаного обладнання та супутні послуги)</t>
  </si>
  <si>
    <t xml:space="preserve">Поточний ремонт частини приміщень Новодмитрівського будинку культури Золотоніського району Черкаської області, яка розташована за адресою: Україна, 19734, Черкаська обл., Золотоніський р-н, село Нова Дмитрівка, вулиця Чернишевського, будинок 19 </t>
  </si>
  <si>
    <t>Поточний ремонт: відновлення асфальтобетонного покриття  за адресою: вулиця Приморська,35, в м. Одеса</t>
  </si>
  <si>
    <t>Поховання безрідних осіб, поховання біологічних відходів  
ДК 021:2015 «98370000-7 (98371000-4 Поховальні послуги)»</t>
  </si>
  <si>
    <t>Поштові марки та марковані конверти</t>
  </si>
  <si>
    <t>ПрАТ "Кіровоградобленерго"</t>
  </si>
  <si>
    <t>ПрАТ "Черкаське хімволокно"</t>
  </si>
  <si>
    <t>Прання та чищення білизни</t>
  </si>
  <si>
    <t>Предмет закупівлі</t>
  </si>
  <si>
    <t>Приватне акцiонерне товариство Днiпропетровський тепловозоремонтний завод</t>
  </si>
  <si>
    <t>Приватне акціонерне товариство "Укргідроенерго"</t>
  </si>
  <si>
    <t>Придбання екскаватора-навантажувача БАМ-2014 на базі трактора МТЗ-82.1 (або еквівалент)</t>
  </si>
  <si>
    <t>Придбання мультифункціональних спортивних майданчиків</t>
  </si>
  <si>
    <t>Придбання природного газу для вічних вогнів:Придбання природного газу для вічних вогнів</t>
  </si>
  <si>
    <t>Призначений менеджер</t>
  </si>
  <si>
    <t>Прийом пропозицій до (дата):</t>
  </si>
  <si>
    <t>Прийом пропозицій до (час):</t>
  </si>
  <si>
    <t>Прийом пропозицій з (дата):</t>
  </si>
  <si>
    <t>Прийом пропозицій з (час):</t>
  </si>
  <si>
    <t>Прилади для захисту дихання</t>
  </si>
  <si>
    <t>Принтер МФУ</t>
  </si>
  <si>
    <t>Принтер багатофункціональний</t>
  </si>
  <si>
    <t>Природний газ для потреб побутових споживачів (населення) які проживають у гуртожитках</t>
  </si>
  <si>
    <t>Притулок для дітей служби у справах дітей Львівської обласної державної адміністрації</t>
  </si>
  <si>
    <t>Проведення медичного огляду для осіб, які займаються фізичною культурою та спортом</t>
  </si>
  <si>
    <t xml:space="preserve">Проведення санітарно-хімічного та санітарно-мікробіологічне дослідження води, дослідження  води питної з водопровідних мереж населених пунктів: Степногірського ЕЦВВ, Василівського ЕЦВВ, Таврійського ЕЦВВ
</t>
  </si>
  <si>
    <t>Програмна продукція Windows Pro 10 32-bit/64-bit All Lng PK Lic Online DwnLd NR</t>
  </si>
  <si>
    <t xml:space="preserve">Програмований блок живлення SIGLENT SPD3303C </t>
  </si>
  <si>
    <t>Продукти харчування різні</t>
  </si>
  <si>
    <t>Продукти харчування та сушені продукти різні</t>
  </si>
  <si>
    <t>Продукти харчування та сушені продукти різні (пельмені та вареники)</t>
  </si>
  <si>
    <t>Продукція борошномельно-круп'яної промисловості</t>
  </si>
  <si>
    <t>Продукція борошномельно-круп'яної промисловості:Продукція борошномельно-круп'яної промисловості</t>
  </si>
  <si>
    <t>Продукція борошномельно-круп`яної промисловості згідно коду CPV за ДК 021:2015 – 15610000-7 (Борошно пшеничне та різні крупи)</t>
  </si>
  <si>
    <t>Продукція борошномельно-круп’яної промисловості (Крупа гречана, рис круглозернистий, рис довгозернистий, пшоно, крупа ячмінна, крупа перлова фасована, крупа кукурудзяна дрібного помолу, крупа Артек, крупа Булгур, борошно пшеничне в/г, крупа Кускус)</t>
  </si>
  <si>
    <t>Продукція для чищення</t>
  </si>
  <si>
    <t>Продукція тваринництва та супутня продукція за кодом Єдиного закупівельного словника код ДК 021:2015 – 03140000-4 Продукція тваринництва та супутня продукція: яйця курячі, номенклатурна позиція 03142500-3 яйця</t>
  </si>
  <si>
    <t>Прожектор світлодіодний HOROZ "PANTER-50" 50W 6400K, 4200К; Прожектор Led 30W 6400K Pars30 Horoz Electric; Світлодіодний прожектор Horoz Electric 10W.</t>
  </si>
  <si>
    <t>Прокат вантажних транспортних засобів із водієм</t>
  </si>
  <si>
    <t>Прокат пасажирських транспортних засобів із водієм (перевезення учасників національно-патріотичних заходів)</t>
  </si>
  <si>
    <t>Промислові гази  (лот №1 - кисень медичний рідкий (Oxygen), лот №2 -  кисень медичний газоподібний (Oxygen):лот №1 - кисень медичний рідкий (Oxygen)</t>
  </si>
  <si>
    <t>Промислові гази  (лот №1 - кисень медичний рідкий (Oxygen), лот №2 -  кисень медичний газоподібний (Oxygen):лот №2 -  кисень медичний газоподібний (Oxygen)</t>
  </si>
  <si>
    <t>Пропан скраплений</t>
  </si>
  <si>
    <t>Простирадло, підодіяльники, наволочки, рушник махровий, плед, подушка силіконова</t>
  </si>
  <si>
    <t>Професійно-технічне училище № 36 смт. Новгородка</t>
  </si>
  <si>
    <t>Професійно-технічне училище № 48 м. Новомосковська</t>
  </si>
  <si>
    <t>Процедура закупівлі</t>
  </si>
  <si>
    <t>Путивльський ліцей №2 ім.Г.Я.Базими Путивльської міської ради</t>
  </si>
  <si>
    <t>Підгузки</t>
  </si>
  <si>
    <t>Підгузок для дорослих</t>
  </si>
  <si>
    <t>Підшипники (кулькові та роликові вальниці)</t>
  </si>
  <si>
    <t>Післяоплата (пiсля виконання робіт), 10 днiв (банківські) - 100.0 %</t>
  </si>
  <si>
    <t>Післяоплата (пiсля виконання робіт), 10 днiв (календарні) - 100.0 %</t>
  </si>
  <si>
    <t>Післяоплата (пiсля виконання робіт), 10 днiв (робочі) - 100.0 %</t>
  </si>
  <si>
    <t>Післяоплата (пiсля виконання робіт), 120 днiв (банківські) - 100.0 %</t>
  </si>
  <si>
    <t>Післяоплата (пiсля виконання робіт), 14 днiв (банківські) - 100.0 %</t>
  </si>
  <si>
    <t>Післяоплата (пiсля виконання робіт), 14 днiв (календарні) - 100.0 %</t>
  </si>
  <si>
    <t>Післяоплата (пiсля виконання робіт), 15 днiв (банківські) - 100.0 %</t>
  </si>
  <si>
    <t>Післяоплата (пiсля виконання робіт), 15 днiв (робочі) - 50.0 %; Післяоплата (пiсля виконання робіт), 30 днiв (робочі) - 50.0 %</t>
  </si>
  <si>
    <t>Післяоплата (пiсля виконання робіт), 180 днiв (банківські) - 100.0 %</t>
  </si>
  <si>
    <t>Післяоплата (пiсля виконання робіт), 20 днiв (банківські) - 100.0 %</t>
  </si>
  <si>
    <t>Післяоплата (пiсля виконання робіт), 20 днiв (календарні) - 100.0 %</t>
  </si>
  <si>
    <t>Післяоплата (пiсля виконання робіт), 20 днiв (робочі) - 100.0 %</t>
  </si>
  <si>
    <t>Післяоплата (пiсля виконання робіт), 30 днiв (календарні) - 100.0 %</t>
  </si>
  <si>
    <t>Післяоплата (пiсля виконання робіт), 30 днiв (робочі) - 100.0 %</t>
  </si>
  <si>
    <t>Післяоплата (пiсля виконання робіт), 360 днiв (календарні) - 100.0 %</t>
  </si>
  <si>
    <t>Післяоплата (пiсля виконання робіт), 5 днiв (робочі) - 100.0 %</t>
  </si>
  <si>
    <t>Післяоплата (пiсля виконання робіт), 60 днiв (банківські) - 100.0 %</t>
  </si>
  <si>
    <t>Післяоплата (пiсля виконання робіт), 60 днiв (робочі) - 100.0 %</t>
  </si>
  <si>
    <t>Післяоплата (пiсля виконання робіт), 7 днiв (банківські) - 100.0 %</t>
  </si>
  <si>
    <t>Післяоплата (пiсля виконання робіт), 90 днiв (календарні) - 100.0 %</t>
  </si>
  <si>
    <t>Післяоплата (пiсля дата виставлення рахунку), 10 днiв (банківські) - 100.0 %</t>
  </si>
  <si>
    <t>Післяоплата (пiсля дата виставлення рахунку), 10 днiв (календарні) - 100.0 %</t>
  </si>
  <si>
    <t>Післяоплата (пiсля дата виставлення рахунку), 10 днiв (робочі) - 100.0 %</t>
  </si>
  <si>
    <t>Післяоплата (пiсля дата виставлення рахунку), 14 днiв (банківські) - 100.0 %</t>
  </si>
  <si>
    <t>Післяоплата (пiсля дата виставлення рахунку), 15 днiв (календарні) - 100.0 %</t>
  </si>
  <si>
    <t>Післяоплата (пiсля дата виставлення рахунку), 15 днiв (робочі) - 100.0 %</t>
  </si>
  <si>
    <t>Післяоплата (пiсля дата виставлення рахунку), 180 днiв (календарні) - 100.0 %</t>
  </si>
  <si>
    <t>Післяоплата (пiсля дата виставлення рахунку), 30 днiв (календарні) - 100.0 %</t>
  </si>
  <si>
    <t>Післяоплата (пiсля дата виставлення рахунку), 45 днiв (банківські) - 100.0 %</t>
  </si>
  <si>
    <t>Післяоплата (пiсля дата виставлення рахунку), 60 днiв (календарні) - 100.0 %</t>
  </si>
  <si>
    <t>Післяоплата (пiсля дата виставлення рахунку), 7 днiв (банківські) - 100.0 %</t>
  </si>
  <si>
    <t>Післяоплата (пiсля дата виставлення рахунку), 888 днiв (банківські) - 100.0 %</t>
  </si>
  <si>
    <t>Післяоплата (пiсля дата закінчення звітного періоду), 15 днiв (календарні) - 100.0 %</t>
  </si>
  <si>
    <t>Післяоплата (пiсля дата закінчення звітного періоду), 20 днiв (календарні) - 100.0 %</t>
  </si>
  <si>
    <t>Післяоплата (пiсля дата закінчення звітного періоду), 30 днiв (календарні) - 100.0 %</t>
  </si>
  <si>
    <t>Післяоплата (пiсля надання послуг), 10 днiв (банківські) - 100.0 %</t>
  </si>
  <si>
    <t>Післяоплата (пiсля надання послуг), 10 днiв (календарні) - 100.0 %</t>
  </si>
  <si>
    <t>Післяоплата (пiсля надання послуг), 10 днiв (робочі) - 100.0 %</t>
  </si>
  <si>
    <t>Післяоплата (пiсля надання послуг), 12 днiв (банківські) - 100.0 %</t>
  </si>
  <si>
    <t>Післяоплата (пiсля надання послуг), 120 днiв (банківські) - 100.0 %</t>
  </si>
  <si>
    <t>Післяоплата (пiсля надання послуг), 120 днiв (календарні) - 100.0 %</t>
  </si>
  <si>
    <t>Післяоплата (пiсля надання послуг), 14 днiв (банківські) - 100.0 %</t>
  </si>
  <si>
    <t>Післяоплата (пiсля надання послуг), 14 днiв (календарні) - 100.0 %</t>
  </si>
  <si>
    <t>Післяоплата (пiсля надання послуг), 14 днiв (робочі) - 100.0 %</t>
  </si>
  <si>
    <t>Післяоплата (пiсля надання послуг), 15 днiв (банківські) - 100.0 %</t>
  </si>
  <si>
    <t>Післяоплата (пiсля надання послуг), 15 днiв (календарні) - 100.0 %</t>
  </si>
  <si>
    <t>Післяоплата (пiсля надання послуг), 15 днiв (робочі) - 100.0 %</t>
  </si>
  <si>
    <t>Післяоплата (пiсля надання послуг), 180 днiв (банківські) - 100.0 %</t>
  </si>
  <si>
    <t>Післяоплата (пiсля надання послуг), 180 днiв (робочі) - 100.0 %</t>
  </si>
  <si>
    <t>Післяоплата (пiсля надання послуг), 20 днiв (банківські) - 100.0 %</t>
  </si>
  <si>
    <t>Післяоплата (пiсля надання послуг), 20 днiв (банківські) - 80.0 %; Післяоплата (пiсля інша подія), 20 днiв (банківські) - 20.0 %</t>
  </si>
  <si>
    <t>Післяоплата (пiсля надання послуг), 20 днiв (календарні) - 100.0 %</t>
  </si>
  <si>
    <t>Післяоплата (пiсля надання послуг), 20 днiв (робочі) - 100.0 %</t>
  </si>
  <si>
    <t>Післяоплата (пiсля надання послуг), 25 днiв (банківські) - 100.0 %</t>
  </si>
  <si>
    <t>Післяоплата (пiсля надання послуг), 25 днiв (календарні) - 100.0 %</t>
  </si>
  <si>
    <t>Післяоплата (пiсля надання послуг), 29 днiв (робочі) - 100.0 %</t>
  </si>
  <si>
    <t>Післяоплата (пiсля надання послуг), 3 днiв (банківські) - 100.0 %</t>
  </si>
  <si>
    <t>Післяоплата (пiсля надання послуг), 30 днiв (банківські) - 100.0 %</t>
  </si>
  <si>
    <t>Післяоплата (пiсля надання послуг), 30 днiв (календарні) - 100.0 %</t>
  </si>
  <si>
    <t>Післяоплата (пiсля надання послуг), 30 днiв (робочі) - 100.0 %</t>
  </si>
  <si>
    <t>Післяоплата (пiсля надання послуг), 45 днiв (банківські) - 100.0 %</t>
  </si>
  <si>
    <t>Післяоплата (пiсля надання послуг), 45 днiв (календарні) - 100.0 %</t>
  </si>
  <si>
    <t>Післяоплата (пiсля надання послуг), 5 днiв (банківські) - 100.0 %</t>
  </si>
  <si>
    <t>Післяоплата (пiсля надання послуг), 5 днiв (календарні) - 100.0 %</t>
  </si>
  <si>
    <t>Післяоплата (пiсля надання послуг), 5 днiв (робочі) - 100.0 %</t>
  </si>
  <si>
    <t>Післяоплата (пiсля надання послуг), 50 днiв (банківські) - 100.0 %</t>
  </si>
  <si>
    <t>Післяоплата (пiсля надання послуг), 60 днiв (календарні) - 100.0 %</t>
  </si>
  <si>
    <t>Післяоплата (пiсля надання послуг), 7 днiв (банківські) - 100.0 %</t>
  </si>
  <si>
    <t>Післяоплата (пiсля надання послуг), 7 днiв (робочі) - 100.0 %</t>
  </si>
  <si>
    <t>Післяоплата (пiсля надання послуг), 70 днiв (банківські) - 100.0 %</t>
  </si>
  <si>
    <t>Післяоплата (пiсля надання послуг), 8 днiв (банківські) - 100.0 %</t>
  </si>
  <si>
    <t>Післяоплата (пiсля надання послуг), 90 днiв (календарні) - 100.0 %</t>
  </si>
  <si>
    <t>Післяоплата (пiсля поставка товару), 1 днiв (робочі) - 100.0 %</t>
  </si>
  <si>
    <t>Післяоплата (пiсля поставка товару), 10 днiв (банківські) - 100.0 %</t>
  </si>
  <si>
    <t>Післяоплата (пiсля поставка товару), 10 днiв (банківські) - 80.0 %; Післяоплата (пiсля інша подія), 10 днiв (банківські) - 20.0 %</t>
  </si>
  <si>
    <t>Післяоплата (пiсля поставка товару), 10 днiв (календарні) - 100.0 %</t>
  </si>
  <si>
    <t>Післяоплата (пiсля поставка товару), 10 днiв (робочі) - 100.0 %</t>
  </si>
  <si>
    <t>Післяоплата (пiсля поставка товару), 120 днiв (календарні) - 100.0 %</t>
  </si>
  <si>
    <t>Післяоплата (пiсля поставка товару), 120 днiв (робочі) - 100.0 %</t>
  </si>
  <si>
    <t>Післяоплата (пiсля поставка товару), 14 днiв (банківські) - 100.0 %</t>
  </si>
  <si>
    <t>Післяоплата (пiсля поставка товару), 14 днiв (календарні) - 100.0 %</t>
  </si>
  <si>
    <t>Післяоплата (пiсля поставка товару), 14 днiв (робочі) - 100.0 %</t>
  </si>
  <si>
    <t>Післяоплата (пiсля поставка товару), 15 днiв (банківські) - 100.0 %</t>
  </si>
  <si>
    <t>Післяоплата (пiсля поставка товару), 15 днiв (календарні) - 100.0 %</t>
  </si>
  <si>
    <t>Післяоплата (пiсля поставка товару), 15 днiв (робочі) - 100.0 %</t>
  </si>
  <si>
    <t>Післяоплата (пiсля поставка товару), 160 днiв (календарні) - 100.0 %</t>
  </si>
  <si>
    <t>Післяоплата (пiсля поставка товару), 180 днiв (календарні) - 100.0 %</t>
  </si>
  <si>
    <t>Післяоплата (пiсля поставка товару), 20 днiв (банківські) - 100.0 %</t>
  </si>
  <si>
    <t>Післяоплата (пiсля поставка товару), 20 днiв (банківські) - 80.0 %; Післяоплата (пiсля інша подія), 20 днiв (банківські) - 20.0 %</t>
  </si>
  <si>
    <t>Післяоплата (пiсля поставка товару), 20 днiв (календарні) - 100.0 %</t>
  </si>
  <si>
    <t>Післяоплата (пiсля поставка товару), 20 днiв (робочі) - 100.0 %</t>
  </si>
  <si>
    <t>Післяоплата (пiсля поставка товару), 25 днiв (банківські) - 100.0 %</t>
  </si>
  <si>
    <t>Післяоплата (пiсля поставка товару), 25 днiв (календарні) - 100.0 %</t>
  </si>
  <si>
    <t>Післяоплата (пiсля поставка товару), 29 днiв (календарні) - 100.0 %</t>
  </si>
  <si>
    <t>Післяоплата (пiсля поставка товару), 3 днiв (робочі) - 100.0 %</t>
  </si>
  <si>
    <t>Післяоплата (пiсля поставка товару), 30 днiв (банківські) - 100.0 %</t>
  </si>
  <si>
    <t>Післяоплата (пiсля поставка товару), 30 днiв (календарні) - 100.0 %</t>
  </si>
  <si>
    <t>Післяоплата (пiсля поставка товару), 30 днiв (робочі) - 100.0 %</t>
  </si>
  <si>
    <t>Післяоплата (пiсля поставка товару), 360 днiв (календарні) - 100.0 %</t>
  </si>
  <si>
    <t>Післяоплата (пiсля поставка товару), 365 днiв (календарні) - 100.0 %</t>
  </si>
  <si>
    <t>Післяоплата (пiсля поставка товару), 4 днiв (банківські) - 100.0 %</t>
  </si>
  <si>
    <t>Післяоплата (пiсля поставка товару), 45 днiв (банківські) - 100.0 %</t>
  </si>
  <si>
    <t>Післяоплата (пiсля поставка товару), 45 днiв (робочі) - 100.0 %</t>
  </si>
  <si>
    <t>Післяоплата (пiсля поставка товару), 5 днiв (банківські) - 100.0 %</t>
  </si>
  <si>
    <t>Післяоплата (пiсля поставка товару), 5 днiв (календарні) - 100.0 %</t>
  </si>
  <si>
    <t>Післяоплата (пiсля поставка товару), 5 днiв (робочі) - 100.0 %</t>
  </si>
  <si>
    <t>Післяоплата (пiсля поставка товару), 60 днiв (банківські) - 100.0 %</t>
  </si>
  <si>
    <t>Післяоплата (пiсля поставка товару), 60 днiв (календарні) - 100.0 %</t>
  </si>
  <si>
    <t>Післяоплата (пiсля поставка товару), 60 днiв (робочі) - 100.0 %</t>
  </si>
  <si>
    <t>Післяоплата (пiсля поставка товару), 7 днiв (банківські) - 100.0 %</t>
  </si>
  <si>
    <t>Післяоплата (пiсля поставка товару), 7 днiв (календарні) - 100.0 %</t>
  </si>
  <si>
    <t>Післяоплата (пiсля поставка товару), 7 днiв (робочі) - 100.0 %</t>
  </si>
  <si>
    <t>Післяоплата (пiсля поставка товару), 9 днiв (робочі) - 100.0 %</t>
  </si>
  <si>
    <t>Післяоплата (пiсля поставка товару), 90 днiв (банківські) - 100.0 %</t>
  </si>
  <si>
    <t>Післяоплата (пiсля поставка товару), 90 днiв (календарні) - 100.0 %</t>
  </si>
  <si>
    <t>Післяоплата (пiсля поставка товару), 90 днiв (робочі) - 100.0 %</t>
  </si>
  <si>
    <t>Післяоплата (пiсля підписання договору), 60 днiв (банківські) - 100.0 %</t>
  </si>
  <si>
    <t>Післяоплата (пiсля інша подія), 10 днiв (банківські) - 100.0 %</t>
  </si>
  <si>
    <t>Післяоплата (пiсля інша подія), 10 днiв (робочі) - 100.0 %</t>
  </si>
  <si>
    <t>Післяоплата (пiсля інша подія), 15 днiв (банківські) - 100.0 %</t>
  </si>
  <si>
    <t>Післяоплата (пiсля інша подія), 20 днiв (календарні) - 100.0 %</t>
  </si>
  <si>
    <t>Післяоплата (пiсля інша подія), 30 днiв (банківські) - 100.0 %</t>
  </si>
  <si>
    <t>Післяоплата (пiсля інша подія), 30 днiв (календарні) - 100.0 %</t>
  </si>
  <si>
    <t>Післяоплата (пiсля інша подія), 30 днiв (робочі) - 80.0 %; Післяоплата (пiсля інша подія), 10 днiв (робочі) - 20.0 %</t>
  </si>
  <si>
    <t>Післяоплата (пiсля інша подія), 45 днiв (календарні) - 100.0 %</t>
  </si>
  <si>
    <t>Післяоплата (пiсля інша подія), 60 днiв (календарні) - 100.0 %</t>
  </si>
  <si>
    <t>Післяоплата (пiсля інша подія), 7 днiв (банківські) - 100.0 %</t>
  </si>
  <si>
    <t>Післяоплата (пiсля інша подія), 7 днiв (робочі) - 100.0 %</t>
  </si>
  <si>
    <t>Пісок овражний 
[ДК 021:2015: 14210000-6 — Гравій, пісок, щебінь і наповнювачі]</t>
  </si>
  <si>
    <t>РЕГІОНАЛЬНА ФІЛІЯ "ПІВДЕННО-ЗАХІДНА ЗАЛІЗНИЦЯ" АКЦІОНЕРНОГО ТОВАРИСТВА "УКРАЇНСЬКА ЗАЛІЗНИЦЯ"</t>
  </si>
  <si>
    <t>РЕГІОНАЛЬНИЙ СЕРВІСНИЙ ЦЕНТР ГСЦ МВС В РІВНЕНСЬКІЙ ОБЛАСТІ (ФІЛІЯ ГСЦ МВС)</t>
  </si>
  <si>
    <t>Радивилівський професійний ліцей</t>
  </si>
  <si>
    <t>Радіатор</t>
  </si>
  <si>
    <t>Радіатор водяний</t>
  </si>
  <si>
    <t>Рама ГД3.051.623Э3 виробу Л-006</t>
  </si>
  <si>
    <t>Рафіновані олії</t>
  </si>
  <si>
    <t>Рафіновані олії та жири</t>
  </si>
  <si>
    <t>Рафіновані олії та жири (олія соняшникова рафінована)</t>
  </si>
  <si>
    <t>Реактиви для клінічної біохімії та гематології</t>
  </si>
  <si>
    <t>Регіон замовника</t>
  </si>
  <si>
    <t>Регіональна філія "Одеська залізниця" ПАТ "Укрзалізниця"</t>
  </si>
  <si>
    <t>Регіональний сервісний центр ГСЦ МВС в Автономній Республіці Крим та м. Севастополі (філія ГСЦ МВС)</t>
  </si>
  <si>
    <t>Регіональний структурний підрозділ Київський районний центр "Київцентраеро" Державного підприємства обслуговування повітряного руху України</t>
  </si>
  <si>
    <t xml:space="preserve">Реконструкція ПЛ-10кВ Л-16-08 "Голубне" Рівненської області </t>
  </si>
  <si>
    <t>Реконструкція ділянки КЛ - 10 кВ «ТП-48 - ТП-90» що розташована вул. Лавандова, буд. №27-а в м. Кропивницькому Кіровоградської області із матеріалів та обладнання підрядника.</t>
  </si>
  <si>
    <t>Реконструкція електромереж 10 кВ ПЛ-10 кВ Л-2-1 ПС-35/10 кВ №2 "Східниця" в смт. Східниця Львівської області</t>
  </si>
  <si>
    <t>Реконструкція електромереж 10 кВ ПЛ-10 кВ Т7-04 (оп.100-185, 218-248, 320-345) Сколівського району Львівської області</t>
  </si>
  <si>
    <t>Реконструкція електромереж 10-0,4 кВ Л-2 від КТП-110-02 з встановленням розвантажувальної трансформаторної підстанції у с. Лісок Буського району Львівської області</t>
  </si>
  <si>
    <t>Реконструкція оглядового майданчика по вул. Правди, м. Бердянськ Запорізької області</t>
  </si>
  <si>
    <t xml:space="preserve">Реконструкція системи вентиляції та кондиціонування в двоповерховій будівлі за адресою:  вул. Дегтярівська, 15-Б, м. Київ (ДК 021:2015 45454000-4: Реконструкція) </t>
  </si>
  <si>
    <t>Реконструкція чотирьох КЛ 0,4 кВ від ТП-510 у м. Херсон (ІП 2022, розділ І)</t>
  </si>
  <si>
    <t>Ремонт та технічне обслуговування ліфтів</t>
  </si>
  <si>
    <t>Ремонт та технічне обслуговування машини  ST-3,5 Смолінської шахти</t>
  </si>
  <si>
    <t>Ремонт та технічне обслуговування техніки Paus "PFL-18", "PFL-20" Смолінської шахти</t>
  </si>
  <si>
    <t>Рентгенівська плівка</t>
  </si>
  <si>
    <t>Риба заморожена (хек патраний без голови)</t>
  </si>
  <si>
    <t>Риба заморожена (хек)(код ДК 021:2015:15220000-3 риба, рибне філе та інше мясо риби морожені)</t>
  </si>
  <si>
    <t>Риба морожена типу хек, оселедець свіжоморожений:Риба морожена типу хек, оселедець свіжоморожений</t>
  </si>
  <si>
    <t>Риба морожена: хек, код ДК 021:2015 “Єдиний закупівельний словник” - 15220000-6 Риба, рибне філе та інше м’ясо риби морожені</t>
  </si>
  <si>
    <t>Риба с/м типу "Скумбрія" с/г , Риба с/м типу "Хек", Філе хека заморож.</t>
  </si>
  <si>
    <t>Риба свіжоморожена (Хек)</t>
  </si>
  <si>
    <t>Риба свіжоморожений хек, риба свіжоморожена салака</t>
  </si>
  <si>
    <t>Риба, рибне філе та інше м'ясо риби морожені.</t>
  </si>
  <si>
    <t>Риба, рибне філе та інше м`ясо риби (хек заморожений обезголовлений патраний вищого сорту; мінтай заморожений обезголовлений патраний вищого сорту)</t>
  </si>
  <si>
    <t>Риба, рибне філе та інше мясо риби (код ДК 021:2015:15220000-6) для закладів освіти, культури, молоді та спорту Верхньосироватської сільської ради Сумського району Сумської області</t>
  </si>
  <si>
    <t>Риба, рибне філе та інше м’ясо риби морожені</t>
  </si>
  <si>
    <t>Риба, рибне філе та інше м’ясо риби морожені (Риба свіжоморожена хек)</t>
  </si>
  <si>
    <t>Риба, рибне філе та інше м’ясо риби морожені (свіжоморожена риба морська без голови - хек)</t>
  </si>
  <si>
    <t>Рис шліфований</t>
  </si>
  <si>
    <t>Роботи з монтажу системи киснезабезпечення об’єкту: «Реконструкція системи киснепостачання КНП «Міська лікарня №6» ЗМР з установкою кисневої станції за адресою: м.Запоріжжя, вул.Сталеварів, 34», (код ДК 021:2015: 45450000-6 Інші завершальні будівельні роботи)</t>
  </si>
  <si>
    <t>Роботи з реконструкції  ПЛ-6-10кВ Володимирецького району, Рівненської області
:Реконструкція ПЛ-10кВ Л-28-03 "Полоне" Володимирецького району Рівненської області</t>
  </si>
  <si>
    <t>Роботи з реконструкції  ПЛ-6-10кВ Володимирецького району, Рівненської області
:Реконструкція ПЛ-10кВ Л-49-03 "Красносілля" Володимирецького району Рівненської області</t>
  </si>
  <si>
    <t>Роботи з реконструкції споруд залізниці  з електрифікацією дільниці Черкаси-ім.Т.Шевченка регіональної філії
"Одеська залізниця" АТ "Укрзалізниця" у Черкаській області. (Спорудження кабельної лінії  на  дільниці Черкаси-ім.Т.Шевченка)
 (ДК 021:2015 - 45230000-8 - Будівництво трубопроводів, ліній зв’язку та електропередач, шосе, доріг, аеродромів і залізничних доріг; вирівнювання поверхонь)</t>
  </si>
  <si>
    <t>Роботи з розробки проектно-кошторисної документації з   реконструкції ПЛ-0,4 кВ від ТП-130 смт.Яблунів філії Карпатська та ПЛ-0,4 кВ від ТП-199  с.С.Березів філії Карпатська.</t>
  </si>
  <si>
    <t>Роботи по виготовленню проектно-кошторисної документації по об’єкту: «Будівництво палацу спорту по вул. Ів. Франка м. Ужгород» (код 021:2015:71320000-7 Послуги з інженерного проектування)</t>
  </si>
  <si>
    <t>Розробка проектно-кошторисної документації по об'єкту: «Реконструкція системи електропостачання Комунального підприємства «Міський клінічний пологовий будинок Полтавської міської ради» по вул.. Олеся Гончара, 27В з встановленням аварійного дизель-генератора в м. Полтава</t>
  </si>
  <si>
    <t>Розроблення проектної документації по об’єкту: «Капітальний ремонт вулиці Старий Шлях в с. Требухів Броварського району Київської області» (за кодом CPV ДК 021:2015 - 71320000-7 – Послуги з інженерного проектування)</t>
  </si>
  <si>
    <t xml:space="preserve">Розроблення проєктно-кошторисної документації по об’єкту: Реконструкція стадіону «Колос» за адресою: Одеська область, Болградський район, Тарутинська територіальна громада, смт. Тарутине, вул. Спортивна, 1-Г </t>
  </si>
  <si>
    <t>Розроблення проєктно-кошторисної документації та проведення експертизи по об’єкту «Реконструкція полігону твердих побутових відходів по вул. Чорнівській, 27 у м. Чернівці»</t>
  </si>
  <si>
    <t>Розроблення проєктної документації «Технiчне переоснащення ПЛ-0,38 кВ Л-1, Л-2 по вул. П. Мирного, вул. Колгоспна, пров. П. Мирного, пров. Першотравневий вiд КТП-504 смт. Стрижавка Вiнницького р-ну, Вiнницької областi» (стадія Робочий проєкт)
(Інвестиційна програма АТ «ВІННИЦЯОБЛЕНЕРГО» 2022 р., І розділ,п. І.2.1.1.16)</t>
  </si>
  <si>
    <t>Рукав дюритовий</t>
  </si>
  <si>
    <t>Рукавички нітрилові (код  НК 024:2019-56286 Рукавички оглядові / процедурні нітрилові, необпудровані, нестерильні), код ДК 021:2015 - 18420000-9 Аксесуари для одягу</t>
  </si>
  <si>
    <t>Рукшинська сільська рада Дністровського району Чернівецької області</t>
  </si>
  <si>
    <t>Ряжанка від 4%, п/е, Йогурт від 2,5%, фас., п/е, Кефір від 2,5%, Сметана від 20% фас., п/е, Десерт типу "Машенька", жир. 5%</t>
  </si>
  <si>
    <t>Ряжанка, йогурт (ДК 021:2015 15550000-8 Молочні продукти різні):Йогурт (ДК 021:2015 15550000-8 Молочні продукти різні)</t>
  </si>
  <si>
    <t>Ряжанка, йогурт (ДК 021:2015 15550000-8 Молочні продукти різні):Ряжанка (ДК 021:2015 15550000-8 Молочні продукти різні)</t>
  </si>
  <si>
    <t>Рівненська область</t>
  </si>
  <si>
    <t>Річне сервісне обслуговування системи очищення води у відділенні гемодіалізу</t>
  </si>
  <si>
    <t xml:space="preserve">СЕРЕДНЯ ЗАГАЛЬНООСВІТНЯ ШКОЛА І-ІІІ СТУПЕНІВ № 1 С. ГОРОДКІВКА КРИЖОПІЛЬСЬКИЙ РАЙОН ВІННИЦЬКА ОБЛАСТЬ </t>
  </si>
  <si>
    <t>СЛОБОЖАНСЬКА СЕЛИЩНА РАДА ЧУГУЇВСЬКОГО РАЙОНУ ХАРКІВСЬКОЇ ОБЛАСТІ</t>
  </si>
  <si>
    <t>СЛУЖБА АВТОМОБІЛЬНИХ ДОРІГ У ТЕРНОПІЛЬСЬКІЙ ОБЛАСТІ</t>
  </si>
  <si>
    <t>Сальники, манжети:Лот 1 Манжета 52-04-1005034 (55х80-10)</t>
  </si>
  <si>
    <t>Сальники, манжети:Лот 10. Сальник 51-2402052-Б4 (55х82-15,5-10)</t>
  </si>
  <si>
    <t>Сальники, манжети:Лот 11. Сальник 13-2402080 (42х75-9)</t>
  </si>
  <si>
    <t>Сальники, манжети:Лот 12. Манжета 40П-2402080(55х82-10)</t>
  </si>
  <si>
    <t>Сальники, манжети:Лот 13. Манжета ведомої шестерні з пружиною 4905-2602022 (155х180-15)</t>
  </si>
  <si>
    <t>Сальники, манжети:Лот 14. Манжета кронштейна тормозаі з пружиною 4905-2602120 (75х100х10)</t>
  </si>
  <si>
    <t>Сальники, манжети:Лот 15. Манжета з пружиною 40П-3204090 (70х92,5-16-12)</t>
  </si>
  <si>
    <t>Сальники, манжети:Лот 16. Сальник вала сошки з пружиною 53-3401022 (35х48-10)</t>
  </si>
  <si>
    <t>Сальники, манжети:Лот 17. Манжета вала лебедки 66-02-4501362 (50х60х7)</t>
  </si>
  <si>
    <t>Сальники, манжети:Лот 18. Манжета 41-1802175 (51х76-9,5)</t>
  </si>
  <si>
    <t>Сальники, манжети:Лот 2. Манжета 51-1701210-А (51х76-14,5-9,5)</t>
  </si>
  <si>
    <t>Сальники, манжети:Лот 3. Манжета 20-1701210 (42х68-15,5-10)</t>
  </si>
  <si>
    <t>Сальники, манжети:Лот 4. Манжета первічного вала задня з пружиною в сборі 14.1701230-01 (45х64-8)</t>
  </si>
  <si>
    <t>Сальники, манжети:Лот 5. Манжета з пружиною в сборі 14.1701238-01 (45х60-7)</t>
  </si>
  <si>
    <t>Сальники, манжети:Лот 6. Манжета 14.1701340 (25х42-10)</t>
  </si>
  <si>
    <t>Сальники, манжети:Лот 7. Манжета 69-2201031-А (18х27,6-4,7)</t>
  </si>
  <si>
    <t>Сальники, манжети:Лот 8. Манжета 51-2401034-А3 (44,5х80-10)</t>
  </si>
  <si>
    <t>Сальники, манжети:Лот 9. Сальник 20-2401034-Б (28,5х46,5-10)</t>
  </si>
  <si>
    <t>Самокопіюючі бланки</t>
  </si>
  <si>
    <t>Саморізи, цвяхи, болти, гайки</t>
  </si>
  <si>
    <t>Санаторій "Одеса" Служби безпеки України</t>
  </si>
  <si>
    <t>Свіжі овочі (морква, буряк,капуста, цибуля)</t>
  </si>
  <si>
    <t>Свіжі овочі та фрукти:Свіжі овочі та фрукти(м.Охтирка, площ.Соборна,3, обл.Сумська)</t>
  </si>
  <si>
    <t>Свіжі овочі та фрукти:Свіжі овочі та фрукти(м.Тростянець, вул.Сосновий бір,6, обл.Сумська)</t>
  </si>
  <si>
    <t>Свіжі овочі та фрукти:Свіжі овочі та фрукти(смт.Велика Писарівка, вул.Коцюбинського,буд.28, обл.Сумська)</t>
  </si>
  <si>
    <t>Світильники</t>
  </si>
  <si>
    <t>Світильники світлодіодні</t>
  </si>
  <si>
    <t>Світильники, прожектори</t>
  </si>
  <si>
    <t>Сейф-пакети</t>
  </si>
  <si>
    <t>Силовий модуль з релейною шафою, код 31730000-2 за ДК 021:2015 «Електротехнічне обладнання»</t>
  </si>
  <si>
    <t>Синевирська сільська рада</t>
  </si>
  <si>
    <t>Сир кисломолочний 9%, (код номенклатурної позиції за ДК 021:2015 15542200-1 «М’який сир»).</t>
  </si>
  <si>
    <t>Сир кисломолочний 9%, згідно ДК 021:2015:15540000-5 Сирні продукти</t>
  </si>
  <si>
    <t>Сир кисломолочний від 9% фас. ДСТУ, Сир твердий ДСТУ, ТУ, Сир плавлений фас. типу "Дружба", Продукт сирний плавлений ковбасний не менше 40% жирності</t>
  </si>
  <si>
    <t>Сир твердий (Код ДК 021:2015 - 15540000-5 Сирні продукти)</t>
  </si>
  <si>
    <t xml:space="preserve">Сир твердий з масовою часткою жиру в сухій речовині  не менше ніж 50%; сир кисломолочний жирністю не менше ніж 9%.
</t>
  </si>
  <si>
    <t>Сир твердий та сир кисломолочний    (ДК 021:2015 15540000-5	Сирні продукти)</t>
  </si>
  <si>
    <t>Сир твердий, Сир кисломолочний</t>
  </si>
  <si>
    <t>Сир твердий, сир кисломолочний, код за ДК 021:2015:15540000 - 5 - Сирні продукти.</t>
  </si>
  <si>
    <t>Сир твердий, сир м'який, код за ДК 021:2015 - 15540000-5 - Сирні продукти</t>
  </si>
  <si>
    <t>Сир твердий,Сир кисломолочний не менше 9%</t>
  </si>
  <si>
    <t>Сирні продукти</t>
  </si>
  <si>
    <t>Сирні продукти(Сир твердий ваговий 50 % жирності )</t>
  </si>
  <si>
    <t>Сирі олії та тваринні і рослинні жири</t>
  </si>
  <si>
    <t>Системи реєстрації медичної інформації та дослідне обладнання (Монітор пацієнта; електрокардіограф; енцефалограф; аудіометр; електрод одноразовий для досліджень)</t>
  </si>
  <si>
    <t>Скарги</t>
  </si>
  <si>
    <t>Скоби із гартованої сталі для механічного степлера</t>
  </si>
  <si>
    <t>Славська селищна рада</t>
  </si>
  <si>
    <t>Служба автомобільних доріг у Дніпропетровській області</t>
  </si>
  <si>
    <t>Слухові апарати(ДК 021:2015-33180000-5 Апаратура для підтримування фізіологічних функцій організму)( Слуховий апарат  завушний Get BTE 13(або еквівалент); Слуховий апарат  завушний Ria2 miniBTE 312 WL 85(або еквівалент), Слуховий апарат Xceed Play 1, BTE UP 675 2,4G 120 (або еквівалент),НКМВ 024:2019-34671-Апарат слуховий завушний повітряної провідності;ДК 021:2015-33185000-0 Слухові апарати)</t>
  </si>
  <si>
    <t>Сметана, кефір</t>
  </si>
  <si>
    <t>Сметана, кефір, йогурт (Код ДК 021:2015-15550000-8 «Молочні продукти різні»)</t>
  </si>
  <si>
    <t>Смизький ліцей</t>
  </si>
  <si>
    <t>Смілянський дитячий будинок-інтернат</t>
  </si>
  <si>
    <t>Соки фруктові, овочеві</t>
  </si>
  <si>
    <t>Соки фруктові, ягідні, фруктово-ягідні, плодово-ягідні соки та нектари</t>
  </si>
  <si>
    <t>Соуси, приправи</t>
  </si>
  <si>
    <t>Спеціальне лікувальне харчування для дітей, хворих на фенілкетонурію (код ДК 021:2015 «Єдиний закупівельний словник» - 15880000-0 Спеціальні продукти харчування, збагачені поживними речовинами, 15881000-7 Гомогенізовані продукти харчування)</t>
  </si>
  <si>
    <t>Спеціальні продукти харчування, (Концентрована спеціальна продуктова суміш для дітей від 8 років життя, підлітків, дорослих, вагітних жінок - 15880000-0 Спеціальні продукти харчування, збагачені поживними речовинами; Спеціальний продукт харчування для дітей віком від 9 років та дорослих - 15880000-0 Спеціальні продукти харчування, збагачені поживними речовинами) код згідно ДК 021:2015 Єдиний закупівельний словник 15880000-0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</si>
  <si>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:Ікс Фе смарт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</si>
  <si>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:Кубітан (Cubitan)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</si>
  <si>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:Ліквіжен (Liquigen)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</si>
  <si>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:Нутрідрінк (Nutridrink)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</si>
  <si>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:Ресурс Оптимум (Resource Optimum)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</si>
  <si>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:Суппортан дрінк (напій) (Supportan Drink )  або еквівалент (ДК 021:2015 15880000-0 - Спеціальні продукти харчування, збагачені поживними речовинами)</t>
  </si>
  <si>
    <t>Спеціальні продукти харчування, збагачені поживними речовинами (ДК 021:2015 15880000-0 - Спеціальні продукти харчування, збагачені поживними речовинами)
:ФКУ Нутрі 2 Концентрат (PKU Nutri 2 Concentrated) або еквівалент; ФКУ Нутрі 2 Енерджі (PKU Nutri 2 Energy) або еквівалент (ДК 021:2015 15880000-0 - Спеціальні продукти харчування, збагачені поживними речовинами)</t>
  </si>
  <si>
    <t>Спеціалізована загальноосвітня І-ІІІ ступенів школа № 8 міста Хмельницького</t>
  </si>
  <si>
    <t>Спеціалізована школа І-ІІІ ступенів №23 з поглибленим вивченням англійської мови Деснянського району міста Києва</t>
  </si>
  <si>
    <t>Спеціалізоване комунальне підприємство "Ритуальна служба" Краматорської міської ради</t>
  </si>
  <si>
    <t>Спеціалізований Одеський санаторій "Салют"</t>
  </si>
  <si>
    <t>Спирт етиловий ДСТУ 4221-2003</t>
  </si>
  <si>
    <t>Список державних закупівель</t>
  </si>
  <si>
    <t>Спортивний майданчик (волейбольний) (с.Коршів Івано – Франківської області) (Капітальний ремонт) (ДСТУ Б Д.1.1-1:2013)</t>
  </si>
  <si>
    <t>Спрощена закупівля</t>
  </si>
  <si>
    <t>Сталеві труби; 44160000-9 магістралі, трубопроводи, труби, обсадні труби, тюбінги та супутні вироби за ДК 021:2015</t>
  </si>
  <si>
    <t xml:space="preserve">Станок для гоління (одноразовий) </t>
  </si>
  <si>
    <t>Статус</t>
  </si>
  <si>
    <t>Стенди,вказівки,інформаційні вказівки.</t>
  </si>
  <si>
    <t>Степівський дитячий будинок-інтернат</t>
  </si>
  <si>
    <t>Стоматологічні матеріали</t>
  </si>
  <si>
    <t>Стоматологічні та вузькоспеціалізовані  інструменти та прилади (Стоматологічні та вузькоспеціалізовані  інструменти та прилади )</t>
  </si>
  <si>
    <t>Страхування цивільно-правової відповідальності власників наземних транспортних засобів. Страхування відповідальності перевізника. Добровільне страхування відповідальності перед третіми особами під час проведення господарської діяльності юридичними або фізичними особами – підприємцями та добровільного страхування майна</t>
  </si>
  <si>
    <t>Строк поставки до:</t>
  </si>
  <si>
    <t>Строк поставки з:</t>
  </si>
  <si>
    <t>Студентські квитки</t>
  </si>
  <si>
    <t>Стіл з нержавіючої сталі з ванною мийною</t>
  </si>
  <si>
    <t>Сумська митниця</t>
  </si>
  <si>
    <t>Сумська область</t>
  </si>
  <si>
    <t>Сумська початкова школа № 14 Сумської міської ради</t>
  </si>
  <si>
    <t>Сумський державний університет</t>
  </si>
  <si>
    <t>Сухарі та печиво; пресерви з хлібобулочних і кондитерських виробів</t>
  </si>
  <si>
    <t>Сухарі, вафлі, пряники та печиво за ДК 021-2015 (CPV) 15820000-2 - Сухарі та печиво; пресерви з хлібобулочних і кондитерських виробів</t>
  </si>
  <si>
    <t>Сухофрукти, паста томатна, горошок зелений заморожений, родзинки, плоди шипшини сушені, капуста квашена, огірки квашені, ягоди заморожені, горох колотий</t>
  </si>
  <si>
    <t>Східноукраїнський національний університет імені Володимира Даля</t>
  </si>
  <si>
    <t>Сік фруктовий</t>
  </si>
  <si>
    <t>Сіль технічна</t>
  </si>
  <si>
    <t>ТЕРИТОРІАЛЬНИЙ ЦЕНТР СОЦІАЛЬНОГО ОБСЛУГОВУВАННЯ (НАДАННЯ СОЦІАЛЬНИХ ПОСЛУГ) КОДИМСЬКОЇ МІСЬКОЇ РАДИ ПОДІЛЬСЬКОГО РАЙОНУ ОДЕСЬКОЇ ОБЛАСТІ</t>
  </si>
  <si>
    <t>ТЕРНОПІЛЬСЬКИЙ НАЦІОНАЛЬНИЙ МЕДИЧНИЙ УНІВЕРСИТЕТ ІМЕНІ І.Я.ГОРБАЧЕВСЬКОГО МІНІСТЕРСТВА ОХОРОНИ ЗДОРОВ'Я УКРАЇНИ</t>
  </si>
  <si>
    <t xml:space="preserve">ТОВАРИСТВО З ОБМЕЖЕНОЮ ВІДПОВІДАЛЬНІСТЮ "ЛУГАНСЬКЕ ЕНЕРГЕТИЧНЕ ОБ'ЄДНАННЯ" </t>
  </si>
  <si>
    <t>ТОВАРИСТВО З ОБМЕЖЕНОЮ ВІДПОВІДАЛЬНІСТЮ "ОПЕРАТОР ГАЗОТРАНСПОРТНОЇ СИСТЕМИ УКРАЇНИ"</t>
  </si>
  <si>
    <t>Так</t>
  </si>
  <si>
    <t>Тарутинська селищна рада</t>
  </si>
  <si>
    <t>Театрально-видовищний заклад культури "Київський академічний театр драми і комедії на лівому березі Дніпра"</t>
  </si>
  <si>
    <t>Тендерне забезпечення</t>
  </si>
  <si>
    <t>Тент з брезенту вогнестійкий</t>
  </si>
  <si>
    <t>Теплопостачання</t>
  </si>
  <si>
    <t>Територіальне управління Державного бюро розслідувань, розташоване у місті Миколаєві</t>
  </si>
  <si>
    <t>Територіальне управління Державної судової адміністрації України у Харківській області</t>
  </si>
  <si>
    <t xml:space="preserve">Термоповітряна паяльна станція Atten AT8502D </t>
  </si>
  <si>
    <t>Тернопільська область</t>
  </si>
  <si>
    <t>Тернопільський міський територіальний центр соціального обслуговування населення (надання соціальних послуг)</t>
  </si>
  <si>
    <t>Тест смужки Акку-Чек</t>
  </si>
  <si>
    <t>Технічне обслуговування автомобіля «LАDA NIVA 212300»</t>
  </si>
  <si>
    <t>Технічне обслуговування внутрішніх систем газопостачання, які не є ГРМ</t>
  </si>
  <si>
    <t>Технічне обслуговування мікроавтобуса «HYUNDAI  Н350»</t>
  </si>
  <si>
    <t>Технічне обслуговування системи пожежної автоматики (СПА), а саме надання послуг з ремонту та технічного обслуговування вимірювальних, випробувальних і контрольних приладів та спостереження за системою пожежної автоматики (СПА) (код ДК 021:2015 - 50413200-5 Послуги з ремонту і технічного обслуговування протипожежного обладнання)</t>
  </si>
  <si>
    <t>Технічне обслуговування та поточний ремонт рентгенапаратів</t>
  </si>
  <si>
    <t>Технічне обслуговування та ремонт автомобілів марки Renault Duster</t>
  </si>
  <si>
    <t>Технічне обслуговування і ремонт офісної техніки (Послуги з заправки, відновлення картриджів та обслуговування і ремонту інших комплектуючих частин друкувальної техніки)</t>
  </si>
  <si>
    <t>Технічне обслуговування і ремонт факсимільних апаратів</t>
  </si>
  <si>
    <t>Технічне переоснащення електромереж 0,4-10 кВ Л-1 від КТП-230 з встановленням розвантажувальної ТП в с. Корсів Бродівського району Львівської області</t>
  </si>
  <si>
    <t>Технічне переоснащення електромереж 0,4-10 кВ Л-2 від КТП-190 з встановленням розвантажувальної трансформаторної підстанції в с. Заболотці Бродівського району Львівської області</t>
  </si>
  <si>
    <t>Технічний нагляд за виконанням робіт на об’єкті: «Будівництво спортивної зали КЗ «Кошарська ЗОШ I-III ступенів Роздільнянської міської ради Одеської області» по вул. Центральна 44, с. Кошари, Роздільнянський район, Одеська область» (коригування проекту)</t>
  </si>
  <si>
    <t>Технічний нагляд за виконанням робіт на об’єкті: «Капітальний ремонт території МНВК зі встановленням фізкультурно-оздоровчого майданчика за адресою: Одеська область, м. Арциз, пров. Червоноглинський, буд. 4А»</t>
  </si>
  <si>
    <t>Тиврівський обласний будинок-інтернат для осіб з інвалідністю та осіб похилого віку</t>
  </si>
  <si>
    <t>Товариство з обмеженою відповідальністю "Львівенергозбут"</t>
  </si>
  <si>
    <t>Товаристо з обмеженою відповідальністю "Кременчуцька ТЕЦ"</t>
  </si>
  <si>
    <t>Томатна паста</t>
  </si>
  <si>
    <t>Трави та спеції для закладів освіти Шевченківського району</t>
  </si>
  <si>
    <t>Трактор МТЗ 82.1-23/12-23/32 Беларус (з балковим мостом)</t>
  </si>
  <si>
    <t>Транспортні послуги</t>
  </si>
  <si>
    <t>Транспортні послуги для службових поїздок посадових осіб обласної державної адміністрації</t>
  </si>
  <si>
    <t>Трансформатор</t>
  </si>
  <si>
    <t>Трансформатор силовий масляний, трансформатор силовий</t>
  </si>
  <si>
    <t>Труба профільна, металопрокат</t>
  </si>
  <si>
    <t>Труби залізобетонні безнапірні</t>
  </si>
  <si>
    <t>Труна дерев'яна (код ДК 021:2015 39290000-1 Фурнітура різна).</t>
  </si>
  <si>
    <t>Туалетний папір, носові хустинки, рушники для рук і серветки</t>
  </si>
  <si>
    <t>Турківська міська рада</t>
  </si>
  <si>
    <t xml:space="preserve">УГВ-Сервіс 22П-007_Послуги з перевірки та маркування автоцистерн для перевезення небезпечних вантажів; 71630000-3 Послуги з технічного огляду та випробовувань за ДК 021:2015 Єдиного закупівельного словника
</t>
  </si>
  <si>
    <t>УЖГОРОДСЬКА ПОЧАТКОВА ШКОЛА "ВЕСЕЛКА" УЖГОРОДСЬКОЇ МІСЬКОЇ РАДИ ЗАКАРПАТСЬКОЇ ОБЛАСТІ</t>
  </si>
  <si>
    <t>УПРАВЛІННЯ ГУМАНІТАРНОЇ ПОЛІТИКИ ЛЮБЕШІВСЬКОЇ СЕЛИЩНОЇ РАДИ</t>
  </si>
  <si>
    <t>УПРАВЛІННЯ З ПИТАНЬ ЖИТЛОВО-КОМУНАЛЬНОГО ГОСПОДАРСТВА, ПОБУТОВОГО, ТОРГОВЕЛЬНОГО ОБСЛУГОВУВАННЯ, ТРАНСПОРТУ І ЗВ'ЯЗКУ, УПРАВЛІННЯ КОМУНАЛЬНОЮ ВЛАСНІСТЮ, МІСТОБУДУВАННЯ ТА АРХІТЕКТУРИ ПОГРЕБИЩЕНСЬКОЇ МІСЬКОЇ РАДИ</t>
  </si>
  <si>
    <t>УПРАВЛІННЯ КАПІТАЛЬНОГО БУДІВНИЦТВА ПОЛТАВСЬКОГО МІСЬКВИКОНКОМУ</t>
  </si>
  <si>
    <t>УПРАВЛІННЯ КУЛЬТУРИ, СПОРТУ ТА МОЛОДІЖНОЇ ПОЛІТИКИ ЮЖНЕНСЬКОЇ МІСЬКОЇ РАДИ ОДЕСЬКОГО РАЙОНУ ОДЕСЬКОЇ ОБЛАСТІ</t>
  </si>
  <si>
    <t>УПРАВЛІННЯ МІСТОБУДУВАННЯ , АРХІТЕКТУРИ , ЗЕМЕЛЬНИХ РЕСУРСІВ , КОМУНАЛЬНОГО МАЙНА , БЛАГОУСТРОЮ , ЖКГ ДЖУРИНСЬКОЇ СІЛЬСЬКОЇ РАДИ</t>
  </si>
  <si>
    <t>УПРАВЛІННЯ ОСВІТИ І НАУКИ НОВОГРАД-ВОЛИНСЬКОЇ МІСЬКОЇ РАДИ</t>
  </si>
  <si>
    <t>УПРАВЛІННЯ ОСВІТИ ТА ГУМАНІТАРНОЇ ПОЛІТИКИ УМАНСЬКОЇ МІСЬКОЇ РАДИ</t>
  </si>
  <si>
    <t>УПРАВЛІННЯ ОСВІТИ ШЕПЕТІВСЬКОЇ МІСЬКОЇ РАДИ</t>
  </si>
  <si>
    <t>УПРАВЛІННЯ ОСВІТИ, КУЛЬТУРИ, МОЛОДІ ТА СПОРТУ ШАБІВСЬКОЇ СІЛЬСЬКОЇ РАДИ БІЛГОРОД-ДНІСТРОВСЬКОГО РАЙОНУ</t>
  </si>
  <si>
    <t xml:space="preserve">УПРАВЛІННЯ СЛУЖБИ БЕЗПЕКИ УКРАЇНИ В ТЕРНОПІЛЬСЬКІЙ ОБЛАСТІ </t>
  </si>
  <si>
    <t>УПРАВЛІННЯ СОЦІАЛЬНОГО ЗАХИСТУ НАСЕЛЕННЯ СЄВЄРОДОНЕЦЬКОЇ МІСЬКОЇ ВІЙСЬКОВО-ЦИВІЛЬНОЇ АДМІНІСТРАЦІЇ СЄВЄРОДОНЕЦЬКОГО РАЙОНУ ЛУГАНСЬКОЇ ОБЛАСТІ</t>
  </si>
  <si>
    <t>УПРАВЛІННЯ СОЦІАЛЬНОГО ЗАХИСТУ НАСЕЛЕННЯ ШОСТКИНСЬКОЇ РАЙОННОЇ ДЕРЖАВНОЇ АДМІНІСТРАЦІЇ</t>
  </si>
  <si>
    <t>УПС (безперебійники)</t>
  </si>
  <si>
    <t>Україна,  АЗС Постачальника або АЗС партнерів учасника (за наявності), Луганська область, в межах Білолуцької чи Новопсковської територіальних громад Луганської області
Україна, АЗС Постачальника або АЗС партнерів учасника (за наявності), Луганська область, в межах Білолуцької чи Новопсковської територіальних громад Луганської області</t>
  </si>
  <si>
    <t>Україна,  вул. Енергетиків 20Е, Кіровоградська область, м. Кропивницький</t>
  </si>
  <si>
    <t>Україна,  вул. Українського козацтва, 56, Донецька область, Маріуполь</t>
  </si>
  <si>
    <t>Україна, -, Луганська область, Старобільський район</t>
  </si>
  <si>
    <t>Україна, -, Львівська область, АЗС Золочівського р-ну</t>
  </si>
  <si>
    <t>Україна, 1.	03022, м. Київ, вул. Ломоносова, 24 (ЦРБ ім. М.О.Некрасова); 2.	03039, м. Київ, вул. Маричанська, 9 (ЦРБ ім. М.О.Некрасова); 3.	03150, м. Київ, вул. Велика Васильківська, 90 (бібліотека ім. П.Й.Панча); 4.	03150, м. Київ, вул. Велика Васильківська, 136 (бібліотека ім. М.В.Гоголя); 5.	03039, м. Київ, просп. Голосіївський, 46/1 (бібліотека «Деміївська»); 6.	03038, м. Київ, вул. Велика Китаївська, 83 (бібліотека ім. М.Т.Рильського); 7.	03083, м. Київ, просп. Науки, 63 (бібліотека ім. Марка  Вовчка); 8.	03191, м. Київ, вул. Лятошинського, 26-г (бібліотека ім. М. П. Стельмаха); 9.	03187, м. Київ, вул. Заболотного, 20-а (бібліотека №152 сімейного читання); 10.	03131, м. Київ, вул. Ліснича, 3 (бібліотека сімейного читання); 11.	01004, м. Київ, вул. Антоновича, 25 (бібліотека ім. В.С.Симоненка для дітей); 12.	03039, м. Київ, просп. Науки, 4 (бібліотека ім. Наталі Забіли для дітей); 13.	03127, м. Київ, просп. Голосіївський 97-а (ім. М.М.Коцюбинського для дітей); 14.	03191, м. Київ, вул. Лятошинського, 26-г (бібліотека №142 для дітей), м. Київ, Київ</t>
  </si>
  <si>
    <t>Україна, 1066, Закарпатська область, с. Синевир</t>
  </si>
  <si>
    <t>Україна, 29000 Україна Хмельницька область м.Хмельницький Склад ( база ) готової продукції Учасника на відстані (автомобільними шляхами ) не більше 8 км від  МКП «Хмельницькводоканал»  (точка відліку - м.Хмельницький , вул. Прибузька , 38)   , Хмельницька область, м.Хмельницький
Україна,  29000 Україна Хмельницька область м.Хмельницький Склад ( база ) готової продукції Учасника на відстані (автомобільними шляхами ) не більше 8 км від  МКП «Хмельницькводоканал»  (точка відліку - м.Хмельницький , вул. Прибузька , 38)   , Хмельницька область, м.Хмельницький
Україна,  	 29000 Україна Хмельницька область м.Хмельницький Склад ( база ) готової продукції Учасника на відстані (автомобільними шляхами ) не більше 8 км від  МКП «Хмельницькводоканал»  (точка відліку - м.Хмельницький , вул. Прибузька , 38)   , Хмельницька область, м.Хмельницький</t>
  </si>
  <si>
    <t>Україна, 9 травня, 2а, Чернігівська область, Варва</t>
  </si>
  <si>
    <t>Україна, Івана Франка, 14, Волинська область, с Будятичі</t>
  </si>
  <si>
    <t>Україна, Іванова, 2, Запорізька область, ЗАПОРІЖЖЯ</t>
  </si>
  <si>
    <t>Україна, Івасюка,8, Львівська область, Червоноград</t>
  </si>
  <si>
    <t>Україна, Індустріальна, 4, Миколаївська область, Селище Нововданилівка Казанківського району</t>
  </si>
  <si>
    <t>Україна, А.Шептицького,32, Івано-Франківська область, смт Делятин</t>
  </si>
  <si>
    <t>Україна, АЗС Постачальника, Черкаська область, Звенигородський р-н</t>
  </si>
  <si>
    <t>Україна, Авіаційна 3, Львівська область, Львів</t>
  </si>
  <si>
    <t>Україна, Академіка Павлова, 46, Харківська область, Харків</t>
  </si>
  <si>
    <t>Україна, Банківська, 85, Донецька область, Слов'янськ</t>
  </si>
  <si>
    <t>Україна, Бердичівська, 1, Київська область, м. Київ</t>
  </si>
  <si>
    <t>Україна, Богопільська,25, Миколаївська область, м.Первомайськ</t>
  </si>
  <si>
    <t>Україна, Брацлавська 2, Вінницька область, Вінниця</t>
  </si>
  <si>
    <t>Україна, ВУЛ.ЄРШОВА, будинок 4, Волинська область, місто Луцьк</t>
  </si>
  <si>
    <t>Україна, ВУЛИЦЯ АЛМАЗНА, будинок 2А, Полтавська область, місто Полтава</t>
  </si>
  <si>
    <t>Україна, ВУЛИЦЯ ГЕРОЇВ УКРАЇНИ, будинок 23, Вінницька область, Бершадь</t>
  </si>
  <si>
    <t>Україна, ВУЛИЦЯ ГЕРОЇВ ХОЛОДНОЯРЦІВ , будинок 82, Черкаська область, місто Сміла</t>
  </si>
  <si>
    <t>Україна, ВУЛИЦЯ ГЕТЬМАНА САГАЙДАЧНОГО, будинок 82, центральний склад Покупця, Черкаська область, місто Черкаси</t>
  </si>
  <si>
    <t>Україна, ВУЛИЦЯ ГОРЯНСЬКА, будинок 1, Харківська область, смт Краснокутськ</t>
  </si>
  <si>
    <t>Україна, ВУЛИЦЯ КИЇВСЬКА, будинок 40-1, Вінницька область, Могилів-Подільський</t>
  </si>
  <si>
    <t>Україна, ВУЛИЦЯ ЛЕСІ УКРАЇНКИ, будинок 2, Вінницька область, Іллінецький р-н, селище міського типу Дашів</t>
  </si>
  <si>
    <t>Україна, ВУЛИЦЯ МЕДИЧНА, будинок 15, Івано-Франківська область, Івано-Франківськ</t>
  </si>
  <si>
    <t>Україна, ВУЛИЦЯ НЕЗАЛЕЖНОСТІ, будинок 68, Хмельницька область, Волочиськ</t>
  </si>
  <si>
    <t>Україна, ВУЛИЦЯ РОМЕНСЬКА, будинок 110, Сумська область,  місто Суми</t>
  </si>
  <si>
    <t>Україна, ВУЛИЦЯ СВЯТО-ПОКРОВСЬКА, будинок 80, Черкаська область, село Тальянки</t>
  </si>
  <si>
    <t>Україна, ВУЛИЦЯ ТОБІЛЕВИЧА, будинок 32, Кіровоградська область, місто Кропивницький</t>
  </si>
  <si>
    <t>Україна, ВУЛИЦЯ ЦИТАДЕЛЬНА, будинок 4/7, м. Київ, м. Київ</t>
  </si>
  <si>
    <t>Україна, ВУЛИЦЯ ШКІЛЬНА, будинок 1, Рівненська область, с.Орлівка</t>
  </si>
  <si>
    <t>Україна, Вавілова,3а, Чернівецька область, м.Чернівці</t>
  </si>
  <si>
    <t>Україна, Виговського 9, Миколаївська область, місто Первомайськ</t>
  </si>
  <si>
    <t>Україна, Волинська область, Відповідно до документації</t>
  </si>
  <si>
    <t>Україна, Волинська область,Камінь Каширський р-н, смт Любешів ,вул Незалежності,53, Волинська область, Волинська область</t>
  </si>
  <si>
    <t>Україна, Волоська, 19, м. Київ, м. Київ</t>
  </si>
  <si>
    <t>Україна, Вул.Піонерська 28, Одеська область, Одеса</t>
  </si>
  <si>
    <t>Україна, Вулиця Оксани Грицей будинок 15, Івано-Франківська область, Долина</t>
  </si>
  <si>
    <t>Україна, Вячеслава Чорновола, 15, Кіровоградська область, Кропивницький</t>
  </si>
  <si>
    <t>Україна, Відповідно до документації</t>
  </si>
  <si>
    <t>Україна, Військова частина 3045 НГУ, Рівненська область, Вараш</t>
  </si>
  <si>
    <t>Україна, Вільшанська, 48, Вінницька область, м.Іллінці</t>
  </si>
  <si>
    <t>Україна, Гагаріна,1, Донецька область, Добропілля</t>
  </si>
  <si>
    <t>Україна, Гагаріна,31, Вінницька область, Гайсин</t>
  </si>
  <si>
    <t>Україна, Галицька 55, Івано-Франківська область, Ямниця</t>
  </si>
  <si>
    <t>Україна, Героїв 51 ОМБр,17 в, Донецька область, Волноваха</t>
  </si>
  <si>
    <t>Україна, Героїв України,17, Донецька область, Краматорськ</t>
  </si>
  <si>
    <t>Україна, Гетьмана Мазепи будинок 114, Івано-Франківська область, Івано-Франківськ</t>
  </si>
  <si>
    <t>Україна, Грюнвальдська, 80, Львівська область, Жидачів</t>
  </si>
  <si>
    <t xml:space="preserve">Україна, Дергачівський полігон ТПВ, Харківська область, Дергачівський р-н </t>
  </si>
  <si>
    <t>Україна, Дислокація закладів освіти, куди буде здійснюватись постачання товарів у Додатку 4, Відповідно до документації
Україна, Дислокація закладів освіти, куди буде здійснюватись постачання товарів у Д, Відповідно до документації</t>
  </si>
  <si>
    <t>Україна, Дмитрівська 16А, Київська область, Київ</t>
  </si>
  <si>
    <t>Україна, Дніпровська, 541, Дніпропетровська область, м. Павлоград</t>
  </si>
  <si>
    <t>Україна, Дніпропетровська область, Відповідно до документації</t>
  </si>
  <si>
    <t>Україна, Донецька, 30, м. Київ, Київ</t>
  </si>
  <si>
    <t>Україна, Дорошенка 41, Рівненська область, Рівне</t>
  </si>
  <si>
    <t>Україна, Дошкільні навчальні заклади Білокоровицької сільської ради, Житомирська область, с. Білокоровичі</t>
  </si>
  <si>
    <t>Україна, Дошкільні навчальні заклади комунальної власності Олевської міської територіальної громади, Житомирська область, м. Олевськ</t>
  </si>
  <si>
    <t>Україна, Драгоманова, 7, Рівненська область, Рівне</t>
  </si>
  <si>
    <t>Україна, Дружби 4, Вінницька область, Ободівка</t>
  </si>
  <si>
    <t>Україна, Жабинського, 15, Чернігівська область, Чернігів</t>
  </si>
  <si>
    <t>Україна, Житомирська 15, Житомирська область, Чуднів</t>
  </si>
  <si>
    <t>Україна, Житомирська 25, Донецька область, Костянтинівка</t>
  </si>
  <si>
    <t>Україна, Житомирська область, Відповідно до документації</t>
  </si>
  <si>
    <t>Україна, За адресою підпорядкованих об’єктів Замовника торгів, Черкаська область, За адресою підпорядкованих об’єктів Замовника торгів</t>
  </si>
  <si>
    <t>Україна, Загребелля,74, Чернігівська область, с.Билка</t>
  </si>
  <si>
    <t>Україна, Заклади освіти підпорядковані Департаменту освіти та науки Івано-Франківської МТГ (відповідно до додатку №6), Івано-Франківська область, Івано-Франківськ</t>
  </si>
  <si>
    <t>Україна, Запорізький район, Запорізька область, Кушугум</t>
  </si>
  <si>
    <t>Україна, Здоров`я, 3А, Хмельницька область, Славута</t>
  </si>
  <si>
    <t>Україна, Зелена 1, Одеська область, Нерубайське</t>
  </si>
  <si>
    <t>Україна, Злагоди, 2, Вінницька область, Тиврів</t>
  </si>
  <si>
    <t>Україна, Зоряна, 11А, Київська область, с. Іванків</t>
  </si>
  <si>
    <t>Україна, Зубенка 2, Львівська область, Стрий</t>
  </si>
  <si>
    <t>Україна, Карпатська, 23, Закарпатська область, Воловець</t>
  </si>
  <si>
    <t>Україна, Карпатська, 3 А, Івано-Франківська область, с.Поляниця</t>
  </si>
  <si>
    <t>Україна, Київська,26, Київська область, село С.Борщагівка</t>
  </si>
  <si>
    <t>Україна, Клавдіївська, 22, Київська область, Київ</t>
  </si>
  <si>
    <t>Україна, Комсомольська (Троїцька) 108, Черкаська область, с.Гельмязів</t>
  </si>
  <si>
    <t>Україна, Конторська, буд.2,   вул. Ярославська, буд.25-Б, вул. Музичний в'їзд,4, Харківська область, Харків</t>
  </si>
  <si>
    <t>Україна, Корпус №1 вул. Молодіжна, 33; корпус №2 вул. Пилипа Орлика, 46; корпус №3 вул. Українська, 19, Херсонська область, Херсон</t>
  </si>
  <si>
    <t>Україна, Космічна, 13, Дніпропетровська область, Дніпро</t>
  </si>
  <si>
    <t>Україна, Коцюбинськго буд.28, Сумська область, Велика Писарівка</t>
  </si>
  <si>
    <t>Україна, Криворізьке шосе, 2, Дніпропетровська область, Дніпро</t>
  </si>
  <si>
    <t>Україна, Кірова, 52, Київська область, Чорнобиль</t>
  </si>
  <si>
    <t>Україна, Кірова,52, Київська область, Чорнобиль</t>
  </si>
  <si>
    <t>Україна, Лаврська 24, Київська область, Київ</t>
  </si>
  <si>
    <t>Україна, Лесі Українки, 53, Хмельницька область, Кам`янець-Подільський</t>
  </si>
  <si>
    <t>Україна, Лесі Українки, будинок 71, Хмельницька область, Кам’янець-Подільський</t>
  </si>
  <si>
    <t>Україна, Лесі Українки,3, Вінницька область, село Городківка Крижопільський район</t>
  </si>
  <si>
    <t>Україна, Лисенка, 8, Тернопільська область, Тернопіль</t>
  </si>
  <si>
    <t>Україна, Лука вул.Просвіти 40а,Кирдани вул.Перемоги 5,Синява вул.Шкільна 1Б, Київська область, Лука,Кирдани,Синява</t>
  </si>
  <si>
    <t>Україна, Лікарняна,2, Черкаська область, Золотоноша</t>
  </si>
  <si>
    <t>Україна, Лісна,1, Дніпропетровська область, Саксагань</t>
  </si>
  <si>
    <t>Україна, Магістральна, 4, Донецька область, Вугледар</t>
  </si>
  <si>
    <t>Україна, Матросова, 7, Донецька область, Маріуполь</t>
  </si>
  <si>
    <t>Україна, Михайла Гуревича, 16, Харківська область, Харків</t>
  </si>
  <si>
    <t>Україна, Михайла Гуревича,16, Харківська область, Харків</t>
  </si>
  <si>
    <t>Україна, Михайла Омеляновича-Павленка, буд. 15, м. Київ, м. Київ</t>
  </si>
  <si>
    <t>Україна, На території Замовника. дільниця Черкаси – ім.Т.Шевченка в межах регіональної філії «Одеська залізниця» АТ "Укрзалізниця", виробничого підрозділу Шевченківська дистанція сигналізації та зв’язку (ШЧ-5)., Черкаси, Черкаська область, 18000, Україна, Черкаська область, Черкаси</t>
  </si>
  <si>
    <t>Україна, Набережно-Печерська дорога, буд. 2, м. Київ, м.Київ</t>
  </si>
  <si>
    <t>Україна, Незалежності, 2, Івано-Франківська область, Коршів</t>
  </si>
  <si>
    <t>Україна, Незалежності,44, Житомирська область, Пулини</t>
  </si>
  <si>
    <t>Україна, Немирівський район; село Гунька, вул. Вишнева, 30А, Вінницька область, місто Немирів, вулиця Гіммназійна, 27</t>
  </si>
  <si>
    <t>Україна, Новікова, 15-б, Луганська область, Сєвєродонецьк</t>
  </si>
  <si>
    <t>Україна, О.Тихого,17-П, Донецька область, Краматорск</t>
  </si>
  <si>
    <t>Україна, Одеська 82, Миколаївська область, Веселинове</t>
  </si>
  <si>
    <t>Україна, Олеся Гончара, 27В, Полтавська область, Полтава</t>
  </si>
  <si>
    <t>Україна, Остапа Вишні,24(повний перелік адрес згідно Додатку 3), Донецька область, Краматорськ</t>
  </si>
  <si>
    <t>Україна, Паркова,1, Житомирська область, Миропіль</t>
  </si>
  <si>
    <t>Україна, Покровська,81, Полтавська область, м.Решетилівка</t>
  </si>
  <si>
    <t>Україна, Потебні, 52, Волинська область, Луцьк</t>
  </si>
  <si>
    <t>Україна, Провулок Мирний другий, 2, Луганська область, Петропавлівка</t>
  </si>
  <si>
    <t>Україна, Промислова, 5, Житомирська область, Житомир
Україна, Тараса Бульби-Боровця, 34, Житомирська область, Житомир</t>
  </si>
  <si>
    <t>Україна, Промислова,5, Житомирська область, Житомир</t>
  </si>
  <si>
    <t>Україна, Проспект Броварський,25, м. Київ, м. Київ</t>
  </si>
  <si>
    <t>Україна, Проспект Степана Бандери, 21, Тернопільська область, Тернопіль</t>
  </si>
  <si>
    <t>Україна, Пушкіна,13К, Дніпропетровська область, Кривий Ріг</t>
  </si>
  <si>
    <t>Україна, Підлісна, 8, м. Київ, м. Київ</t>
  </si>
  <si>
    <t>Україна, Підпорядковані заклади освіти, Сумська область, Конотоп</t>
  </si>
  <si>
    <t>Україна, Родини Крушельницьких, 26, 28, І. Мазепи, 134, Роксолани,7, Івано-Франківська область, місто Коломия</t>
  </si>
  <si>
    <t>Україна, Рівненська область, с.Боянівка, вул.Лісова,1</t>
  </si>
  <si>
    <t>Україна, С.Ріхтера,11, Житомирська область, Житомир</t>
  </si>
  <si>
    <t>Україна, СЗШ № 42 за адресою: вулиця Хорольська, 19 Дніпровського району м. Києва, м. Київ, м. Київ</t>
  </si>
  <si>
    <t>Україна, Садова, 2а, Полтавська область, Заводське</t>
  </si>
  <si>
    <t>Україна, Свободи,49, Сумська область, м.Шостка</t>
  </si>
  <si>
    <t>Україна, Світла, 6, Київська область, Київ</t>
  </si>
  <si>
    <t>Україна, Сергія Параджанова  87, Житомирська область, Житомир</t>
  </si>
  <si>
    <t>Україна, Слобожанська 5б, Харківська область, Дворічна</t>
  </si>
  <si>
    <t>Україна, Соборності,58, Київська область, Миронівка</t>
  </si>
  <si>
    <t>Україна, Софії Галечко 127, Івано-Франківська область, с. Пасічна</t>
  </si>
  <si>
    <t>Україна, Спаська, 18, Миколаївська область, Миколаїв</t>
  </si>
  <si>
    <t>Україна, Спортивна 1, Рівненська область, Дубровиця</t>
  </si>
  <si>
    <t>Україна, Спортивна,33, Дніпропетровська область, м. Кам'янське</t>
  </si>
  <si>
    <t>Україна, Степана Бандери, 64, Тернопільська область, Чортків</t>
  </si>
  <si>
    <t>Україна, Степова 3, Харківська область, Лозова</t>
  </si>
  <si>
    <t>Україна, Стрілецька, 6, Волинська область, Луцьк</t>
  </si>
  <si>
    <t>Україна, Суворова 4, Запорізька область, Пологи</t>
  </si>
  <si>
    <t>Україна, Суховоля,75, Львівська область, Трускавець</t>
  </si>
  <si>
    <t>Україна, Сєдова,3А, Київська область, Боярка</t>
  </si>
  <si>
    <t>Україна, Січових Стрільців,3, Івано-Франківська область, смт Делятин</t>
  </si>
  <si>
    <t>Україна, Тараса Шевченка, 55А, Житомирська область, Овруч</t>
  </si>
  <si>
    <t>Україна, Теплицька ТГ, опорний заклад та філії, Вінницька область, Гайсинський район</t>
  </si>
  <si>
    <t>Україна, Терещенківська,11А, м. Київ, м. Київ</t>
  </si>
  <si>
    <t>Україна, Територія виконавця, Запорізька область, м. Запоріжжя</t>
  </si>
  <si>
    <t>Україна, Тростянецька, 58А, м. Київ, Київ</t>
  </si>
  <si>
    <t>Україна, Тімірязєва,10, Харківська область, Харків</t>
  </si>
  <si>
    <t>Україна, Українська 81, Херсонська область, Херсон</t>
  </si>
  <si>
    <t xml:space="preserve">Україна, Управлінню освіти Голосіївської районної в місті Києві державної адміністрації, м. Київ, навчальні заклади освіти підпорядковані </t>
  </si>
  <si>
    <t>Україна, Франка Івана,39, Закарпатська область, Мукачево</t>
  </si>
  <si>
    <t>Україна, Французький бульвар,52, Одеська область, місто Одеса
Україна, Французький бульвар, 52, Одеська область, міісто Одеса</t>
  </si>
  <si>
    <t>Україна, Філії та відокремлені підрозділи  КП «Київпастранс», м. Київ, м. Київ</t>
  </si>
  <si>
    <t>Україна, Харківське шосе, 121, м. Київ, м. Київ</t>
  </si>
  <si>
    <t>Україна, Харківське шосе, 176-Г, м. Київ, м. Київ</t>
  </si>
  <si>
    <t>Україна, Хмельницьке шосе, 92, Вінницька область, м. Вінниця</t>
  </si>
  <si>
    <t>Україна, Хрещатик,74, Київська область, Боярка</t>
  </si>
  <si>
    <t>Україна, Центральна 77, Одеська область, Новосавицьке</t>
  </si>
  <si>
    <t>Україна, Центральна, 108, Кіровоградська область, Єлизаветградка</t>
  </si>
  <si>
    <t>Україна, Червона Гірка 41, Полтавська область, Кременчук</t>
  </si>
  <si>
    <t>Україна, Чернишевського, 19, Черкаська область, Нова Дмитрівка</t>
  </si>
  <si>
    <t>Україна, Чернігівська область, Відповідно до документації</t>
  </si>
  <si>
    <t>Україна, Чорновола, 49, Івано-Франківська область, Івано-Франківськ</t>
  </si>
  <si>
    <t>Україна, Шахтарської Слави, 1, Дніпропетровська область, Першотравенск</t>
  </si>
  <si>
    <t>Україна, Шевченка, 112, Кіровоградська область, Добровеличківка</t>
  </si>
  <si>
    <t>Україна, Шевченка, 43, Івано-Франківська область, м.Косів</t>
  </si>
  <si>
    <t>Україна, Шевченка, 46, Хмельницька область, Хмельницький</t>
  </si>
  <si>
    <t>Україна, Шевченка,46, Хмельницька область, Хмельницький</t>
  </si>
  <si>
    <t>Україна, Шпитальна,4, Тернопільська область, Тернопіль</t>
  </si>
  <si>
    <t>Україна, Янтарна, 5 ,   електронна адреса : dey_sv@ukr.net, Київська область, Київ</t>
  </si>
  <si>
    <t>Україна, автомобільна дорога Херсон-Красноперекопськ-Сімферополь, 83 км, Херсонська область, Каланчацький район</t>
  </si>
  <si>
    <t>Україна, будинок 59, Закарпатська область, с.Підполоззя</t>
  </si>
  <si>
    <t>Україна, бул. Шевченка, 301б, Донецька область, м. Маріуполь</t>
  </si>
  <si>
    <t>Україна, бульвар Гавела Вацлава, 46, м. Київ, м. Київ</t>
  </si>
  <si>
    <t>Україна, бульвар Тараса Шевченка,60, м. Київ, м. Київ</t>
  </si>
  <si>
    <t>Україна, бульвар Шевченка,2, Сумська область, м.Ромни</t>
  </si>
  <si>
    <t>Україна, в ефірі місцевих телеканалів, Харківська область, Куп'янськ</t>
  </si>
  <si>
    <t>Україна, вул Велика Куликовська 88, Херсонська область, м. Каховка</t>
  </si>
  <si>
    <t>Україна, вул Лісова 1а, Черкаська область, с Руська Поляна</t>
  </si>
  <si>
    <t>Україна, вул Мечникова 25, Черкаська область, Черкаси</t>
  </si>
  <si>
    <t>Україна, вул Троїцька,15,структурні підрозділи, заклади загальноосвітні та дошкільні, позашкільна освіта, Харківська область, Богодухів</t>
  </si>
  <si>
    <t>Україна, вул Тітова , 34, Житомирська область, Андрушівка</t>
  </si>
  <si>
    <t>Україна, вул Хмельницьке шосе, 96, Вінницька область, м Вінниця</t>
  </si>
  <si>
    <t>Україна, вул Цимбала Сергія, будинок 17, Київська область, смт Ставище, Білоцерківський район</t>
  </si>
  <si>
    <t>Україна, вул.  Кульчицького, 9, Харківська область, м. Харків</t>
  </si>
  <si>
    <t>Україна, вул. 2 Слобідська, 140, Миколаївська область, Миколаїв</t>
  </si>
  <si>
    <t>Україна, вул. 2 Слобідська, 140, Миколаївська область, м. Миколаїв</t>
  </si>
  <si>
    <t>Україна, вул. 40 років Перемоги, 35, Херсонська область, с. Музиківка</t>
  </si>
  <si>
    <t>Україна, вул. 5-та лінія, буд. 39, Луганська область, смт. Станиця Луганська</t>
  </si>
  <si>
    <t>Україна, вул. 8 Березня,40, Рівненська область, м.Здолбунів</t>
  </si>
  <si>
    <t>Україна, вул. 9 Травня, 17, Донецька область, м. Маріуполь</t>
  </si>
  <si>
    <t>Україна, вул. Є.Гребінки, 28, Полтавська область, м. Гребінка</t>
  </si>
  <si>
    <t>Україна, вул. Івана Айвазовського, 9, Закарпатська область, м. Ужгород</t>
  </si>
  <si>
    <t>Україна, вул. Івана Мазепи, 36, Полтавська область, м. Полтава</t>
  </si>
  <si>
    <t>Україна, вул. Івана Середи,10, Харківська область, м. Лозова, смт. Панютине</t>
  </si>
  <si>
    <t>Україна, вул. Інститутська,1, Сумська область, Шостка</t>
  </si>
  <si>
    <t>Україна, вул. Авраменка, 4, Запорізька область, м. Запоріжжя</t>
  </si>
  <si>
    <t>Україна, вул. Академіка Воробйова,3, Одеська область, м. Одеса</t>
  </si>
  <si>
    <t>Україна, вул. Академіка Проскури, буд. 1, Харківська область, Харків</t>
  </si>
  <si>
    <t>Україна, вул. Архітектора Городецького, 1-3/11 , м. Київ, м. Київ</t>
  </si>
  <si>
    <t>Україна, вул. Архітектора Нільсена, 2, Донецька область, м. Маріуполь</t>
  </si>
  <si>
    <t>Україна, вул. Бажана, 2, Хмельницька область, місто Хмельницький</t>
  </si>
  <si>
    <t>Україна, вул. Банкова, 11, Київська область, м. Київ</t>
  </si>
  <si>
    <t>Україна, вул. Барикадна, 23, Дніпропетровська область, Дніпро</t>
  </si>
  <si>
    <t>Україна, вул. Березинська,60, Дніпропетровська область, Дніпро</t>
  </si>
  <si>
    <t>Україна, вул. Благовісна, 244а, Черкаська область, м. Черкаси</t>
  </si>
  <si>
    <t>Україна, вул. Богдана Ліщини, буд. 13, Луганська область, м. Сєвєродонецьк</t>
  </si>
  <si>
    <t>Україна, вул. Больнична, 6 , Одеська область, м.Березівка</t>
  </si>
  <si>
    <t>Україна, вул. Братиславська,5, Київська область, Київ</t>
  </si>
  <si>
    <t>Україна, вул. В.Івасюка, 24, Львівська область, смт. Славське</t>
  </si>
  <si>
    <t>Україна, вул. Валенберга, 52, Закарпатська область, Мукачево</t>
  </si>
  <si>
    <t>Україна, вул. Ватутіна, 35-а, Полтавська область, місто Полтава</t>
  </si>
  <si>
    <t>Україна, вул. Велика Ковалівка, буд.10а, Дніпропетровська область, м. Новомосковськ</t>
  </si>
  <si>
    <t>Україна, вул. Велика Садова 99, Донецька область, м.Краматорськ</t>
  </si>
  <si>
    <t>Україна, вул. Веселинівська, 4 , Миколаївська область, сел. Надбузьке
Україна, вул. Веселинівська, 4, Миколаївська область, сел. Надбузьке</t>
  </si>
  <si>
    <t>Україна, вул. Веселинівська, 4, Миколаївська область, сел. Надбузьке</t>
  </si>
  <si>
    <t>Україна, вул. Висоцького, 2А; вул. Дементьєва, 8; вул. Саранська, 12; вул. Передова, 671В; вул. Широка, 222, Дніпропетровська область, м. Дніпро</t>
  </si>
  <si>
    <t>Україна, вул. Возз'єднання буд.4, Закарпатська область, смт. Міжгір'я</t>
  </si>
  <si>
    <t>Україна, вул. Волгоградська 12, кім. 206, Дніпропетровська область, Кривий Ріг</t>
  </si>
  <si>
    <t>Україна, вул. Володимира Великого, 21, Дніпропетровська область, місто Кривий Ріг</t>
  </si>
  <si>
    <t>Україна, вул. Володимирська, 38, Закарпатська область, м. Ужгород</t>
  </si>
  <si>
    <t>Україна, вул. Володимирська, 85, Хмельницька область, м. Хмельницький</t>
  </si>
  <si>
    <t>Україна, вул. Воскресенська буд. 24, Дніпропетровська область, Дніпро</t>
  </si>
  <si>
    <t>Україна, вул. Гагаріна, 56, Хмельницька область, м. Кам’янець-Подільський</t>
  </si>
  <si>
    <t>Україна, вул. Гагаріна,16, Запорізька область, Василівка</t>
  </si>
  <si>
    <t>Україна, вул. Галицька, будинок 25, Тернопільська область, Бучач</t>
  </si>
  <si>
    <t>Україна, вул. Герасименка,94, Дніпропетровська область, с.Новотроїцьке</t>
  </si>
  <si>
    <t>Україна, вул. Герої АТО, буд 30, Дніпропетровська область, м.Кривий Ріг</t>
  </si>
  <si>
    <t>Україна, вул. Героїв Майдану,буд 32, Вінницька область, Козятин</t>
  </si>
  <si>
    <t>Україна, вул. Героїв Небесної Сотні,1, Київська область, Кагарлик</t>
  </si>
  <si>
    <t>Україна, вул. Героїв УПА, 63, Львівська область, м. Сокаль</t>
  </si>
  <si>
    <t>Україна, вул. Героїв України буд.20, Донецька область, Краматорськ</t>
  </si>
  <si>
    <t>Україна, вул. Гончара, буд 3а, Дніпропетровська область, смт Петриківка</t>
  </si>
  <si>
    <t>Україна, вул. Горького 13/7, Запорізька область, Бердянськ</t>
  </si>
  <si>
    <t>Україна, вул. Грайворонська, 2, Сумська область, смт.Велика Писарівка</t>
  </si>
  <si>
    <t>Україна, вул. Грушевського ,5, Львівська область, м.Пустомити</t>
  </si>
  <si>
    <t>Україна, вул. Грушевського 5, Тернопільська область, м. Борщів</t>
  </si>
  <si>
    <t>Україна, вул. Грушевського, 33-а, Житомирська область, Житомир</t>
  </si>
  <si>
    <t>Україна, вул. ДВАДЦЯТЬ ТРЕТЬОГО СЕРПНЯ, 23-А, Харківська область, м.Харків</t>
  </si>
  <si>
    <t>Україна, вул. Дворянська, 2, Одеська область, м. Одеса</t>
  </si>
  <si>
    <t>Україна, вул. Дегтярівська, 37, м. Київ, Київ</t>
  </si>
  <si>
    <t>Україна, вул. Дегтярівська,15 Б, м. Київ, м. Київ</t>
  </si>
  <si>
    <t>Україна, вул. Декабристів, 41/10, Миколаївська область, м. Миколаїв</t>
  </si>
  <si>
    <t>Україна, вул. Дніпровсяка 14, Донецька область, м. Краматорськ</t>
  </si>
  <si>
    <t>Україна, вул. Долматова, 13, Дніпропетровська область, Кам'янське</t>
  </si>
  <si>
    <t>Україна, вул. Донецька, буд. 1, Луганська область, Сєвєродонецьк</t>
  </si>
  <si>
    <t>Україна, вул. Дрогобицька,50, Львівська область, м. Стрий</t>
  </si>
  <si>
    <t>Україна, вул. Дружби буд. 4, Запорізька область, Мелітопольський р-н, смт. Мирне</t>
  </si>
  <si>
    <t>Україна, вул. Енергетична, 1, Тернопільська область, м. Шумськ</t>
  </si>
  <si>
    <t>Україна, вул. Жмаченка, 46, Житомирська область, м.Коростень</t>
  </si>
  <si>
    <t>Україна, вул. Залізна 17, вул. Європейська 101, вул. І.Мазепи 36, Полтавська область, м. Полтава</t>
  </si>
  <si>
    <t>Україна, вул. Залізнична ,8, Донецька область, Краматорськ</t>
  </si>
  <si>
    <t>Україна, вул. Зелінського, 87, Запорізьке шосе, 3, дільниці підприємства, Донецька область, Маріуполь</t>
  </si>
  <si>
    <t>Україна, вул. Зоологічна, 6-а, м. Київ, м. Київ</t>
  </si>
  <si>
    <t>Україна, вул. Квітки Цісик, 60, м. Київ, м. Київ</t>
  </si>
  <si>
    <t>Україна, вул. Київська, 12, Київська область, м.Сквира</t>
  </si>
  <si>
    <t>Україна, вул. Київська, 288, Вінницька область, Жмеринка</t>
  </si>
  <si>
    <t>Україна, вул. Київська, буд 50, Донецька область, смт. Новотроїцьке</t>
  </si>
  <si>
    <t>Україна, вул. Київський шлях 1А,, Сумська область, с. Вільшана, Роменського району</t>
  </si>
  <si>
    <t>Україна, вул. Київський шлях,126, Київська область, Баришівка</t>
  </si>
  <si>
    <t>Україна, вул. Кн. Володимира , 71, Рівненська область, м. Рівне</t>
  </si>
  <si>
    <t>Україна, вул. Кн. Володимира, 71., Рівненська область, м. Рівне</t>
  </si>
  <si>
    <t>Україна, вул. Князів Коріатовичів, 185, Вінницька область, Вінниця</t>
  </si>
  <si>
    <t>Україна, вул. Ковпака 18, Сумська область, Суми</t>
  </si>
  <si>
    <t>Україна, вул. Козацька, буд. 45, Миколаївська область, Миколаївський р-н, с. Степове</t>
  </si>
  <si>
    <t>Україна, вул. Комсомольська, 14 А, Запорізька область, смт. Мирне</t>
  </si>
  <si>
    <t>Україна, вул. Комунальників, 4-а, Чернівецька область, м.Чернівці</t>
  </si>
  <si>
    <t>Україна, вул. Коновальця, 2, Івано-Франківська область, м. Болехів</t>
  </si>
  <si>
    <t>Україна, вул. Консульська (Комунарів), буд. 23 – т, Запорізька область, м. Бердянськ</t>
  </si>
  <si>
    <t>Україна, вул. Коперника, 4, Львівська область, Львів</t>
  </si>
  <si>
    <t>Україна, вул. Коперника,1, Тернопільська область, Тернопіль</t>
  </si>
  <si>
    <t>Україна, вул. Копилівська 1/7, м. Київ, Київ</t>
  </si>
  <si>
    <t>Україна, вул. Костянтина Гасієва, 8а, Донецька область, м.Лиман</t>
  </si>
  <si>
    <t>Україна, вул. Криворізька, буд. 44, Кіровоградська область, Новгородківський р-н, смт Новгородка</t>
  </si>
  <si>
    <t>Україна, вул. Куренівська, 16в, м. Київ, Київ</t>
  </si>
  <si>
    <t>Україна, вул. Куїнджі,92, Донецька область, м. Маріуполь</t>
  </si>
  <si>
    <t>Україна, вул. Лавандова, 27-а, Кіровоградська область, м. Кропивницький</t>
  </si>
  <si>
    <t>Україна, вул. Лангемака, 76, Луганська область, м. Старобільськ</t>
  </si>
  <si>
    <t>Україна, вул. Левандівська 17В, Львівська область, м. Львів</t>
  </si>
  <si>
    <t>Україна, вул. Леоніда Бикова, 9, Сумська область, м. Суми</t>
  </si>
  <si>
    <t>Україна, вул. Лесі Українки,5, Черкаська область, с.Мокра Калигірка</t>
  </si>
  <si>
    <t>Україна, вул. Ломоносова, буд 19, Луганська область, м. Сєвєродонецьк</t>
  </si>
  <si>
    <t>Україна, вул. Лотоцького, 18, Івано-Франківська область, м. Снятин</t>
  </si>
  <si>
    <t>Україна, вул. Лукянівська 62, м. Київ, м. Київ</t>
  </si>
  <si>
    <t>Україна, вул. Львівська,166, Львівська область, Червоноградський р-н, місто Великі Мости</t>
  </si>
  <si>
    <t>Україна, вул. Люксембург Р., буд. 38, Донецька область, Дружківка</t>
  </si>
  <si>
    <t>Україна, вул. М. Вовчок, 2, Сумська область, м. Суми</t>
  </si>
  <si>
    <t>Україна, вул. МАТРОСОВА, буд.17, Хмельницька область, м.КАМ'ЯНЕЦЬ-ПОДІЛЬСЬКИЙ</t>
  </si>
  <si>
    <t>Україна, вул. Марата, 21, Сумська область, м. Шостка</t>
  </si>
  <si>
    <t>Україна, вул. Марко Вовчок, 2, Сумська область, місто Суми</t>
  </si>
  <si>
    <t>Україна, вул. Медична, 7, Рівненська область, м. Рівне</t>
  </si>
  <si>
    <t>Україна, вул. Менделєєва 3, Черкаська область, Черкаси</t>
  </si>
  <si>
    <t>Україна, вул. Менделєєва буд.7, Черкаська область, Черкаси</t>
  </si>
  <si>
    <t>Україна, вул. Мережна, буд. 3, Київська область, м.Біла Церква</t>
  </si>
  <si>
    <t>Україна, вул. Меріоративна, буд 3, Дніпропетровська область, смт Софіївка</t>
  </si>
  <si>
    <t>Україна, вул. Металургів, 38, Сумська область, місто Суми</t>
  </si>
  <si>
    <t>Україна, вул. Миру 11 А, Чернівецька область, Чернівецькій р-н, с.Ванчиківці</t>
  </si>
  <si>
    <t>Україна, вул. Миру, 25, Чернігівська область, с. Нова Басань</t>
  </si>
  <si>
    <t>Україна, вул. Миру,13, Донецька область, м Миколаївка</t>
  </si>
  <si>
    <t>Україна, вул. Митрополитська, 5, Донецька область, м. Маріуполь</t>
  </si>
  <si>
    <t>Україна, вул. Михайла Гуревича,14, Харківська область, м. Харків</t>
  </si>
  <si>
    <t>Україна, вул. Молодіжна, 1, Вінницька область, с. Котюжани</t>
  </si>
  <si>
    <t>Україна, вул. Молодіжна, 93Б, Полтавська область, с.Засулля</t>
  </si>
  <si>
    <t>Україна, вул. Монастирська,36, Полтавська область, м.Лубни</t>
  </si>
  <si>
    <t>Україна, вул. Москалівська, 20, Харківська область, м.Харків</t>
  </si>
  <si>
    <t>Україна, вул. Московська, 21, Чернігівська область, м. Ніжин</t>
  </si>
  <si>
    <t>Україна, вул. Мостицька,11, м. Київ, м. Киів</t>
  </si>
  <si>
    <t>Україна, вул. Мічуріна, 87, Запорізька область, м. Бердянськ</t>
  </si>
  <si>
    <t>Україна, вул. Незалежності, б. 68 А, Луганська область, смт. Новоайдар</t>
  </si>
  <si>
    <t>Україна, вул. Нижньодніпровська , 12, Запорізька область, Запоріжжя</t>
  </si>
  <si>
    <t>Україна, вул. Нижньодніпровська, 12, Запорізька область, Запоріжжя</t>
  </si>
  <si>
    <t>Україна, вул. Новосельського 87/89; вул. Генерала Петрова, 20, Одеська область, Одеса</t>
  </si>
  <si>
    <t>Україна, вул. Новоселівка ,3, Харківська область, село Юнаківка</t>
  </si>
  <si>
    <t>Україна, вул. Новосільна, буд.21, Дніпропетровська область, Дніпро</t>
  </si>
  <si>
    <t>Україна, вул. О. Тихого,6, Донецька область, Краматорськ</t>
  </si>
  <si>
    <t>Україна, вул. Олександра Мишуги, 5, Київська область, Київ</t>
  </si>
  <si>
    <t>Україна, вул. Олійника, 6, Київська область, Київ</t>
  </si>
  <si>
    <t>Україна, вул. Олімпійська 6а, Запорізька область, м.Запоріжжя</t>
  </si>
  <si>
    <t>Україна, вул. Острівна,2-а, Дніпропетровська область, Новомосковський р-н, с.Орлівщина</t>
  </si>
  <si>
    <t>Україна, вул. Паланочна, Молодіжний острів, Дніпропетровська область, м. Новомосковськ</t>
  </si>
  <si>
    <t>Україна, вул. Паркова, буд. 8, Дніпропетровська область, м. Жовті Води</t>
  </si>
  <si>
    <t>Україна, вул. Перекопська,10, Херсонська область, м. Херсон</t>
  </si>
  <si>
    <t>Україна, вул. Перемоги, 24, Сумська область, смт. Краснопілля</t>
  </si>
  <si>
    <t>Україна, вул. Першотравнева, буд.2, Запорізька область, м. Запоріжжя</t>
  </si>
  <si>
    <t>Україна, вул. Петра Болбочана (Командарма Каменєва), 6, м. Київ, м. Київ</t>
  </si>
  <si>
    <t>Україна, вул. Плеханівська, 65, Харківська область, м.Харків</t>
  </si>
  <si>
    <t>Україна, вул. Покровська 60, Кіровоградська область, м. Новоукраїнка</t>
  </si>
  <si>
    <t>Україна, вул. Покровська, буд. 24, Харківська область, м. Зміїв</t>
  </si>
  <si>
    <t>Україна, вул. Покровська, буд. 3а, Дніпропетровська область, м. Синельникове</t>
  </si>
  <si>
    <t>Україна, вул. Полтавська  буд.29, Полтавська область, м. Кобеляки</t>
  </si>
  <si>
    <t>Україна, вул. Полтавська 89/2, Вінницька область, Могилів-Подільський</t>
  </si>
  <si>
    <t>Україна, вул. Полтавська, 274, Донецька область, м.Волноваха</t>
  </si>
  <si>
    <t>Україна, вул. Полтавський Шлях,153, Харківська область, м.Харків</t>
  </si>
  <si>
    <t>Україна, вул. Полярна, буд. 20, м. Київ, м. Київ</t>
  </si>
  <si>
    <t>Україна, вул. Поперечна, 1А, Дніпропетровська область, м. Кривий Ріг</t>
  </si>
  <si>
    <t>Україна, вул. Праці б.44, Донецька область, м.Білицьке</t>
  </si>
  <si>
    <t>Україна, вул. Привокзальна, 31, Сумська область, м. Суми</t>
  </si>
  <si>
    <t>Україна, вул. Привокзальна, 9, Запорізька область, м. Запоріжжя</t>
  </si>
  <si>
    <t>Україна, вул. Промислова, 17, Луганська область, м. Сєвєродонецьк</t>
  </si>
  <si>
    <t>Україна, вул. Промислова,11, Київська область, с. Проліски</t>
  </si>
  <si>
    <t>Україна, вул. Прорiзна 19-А, м. Київ, м. Київ</t>
  </si>
  <si>
    <t>Україна, вул. Проскурівська, 90, Хмельницька область, Хмельницький
Україна, вул. Соборна, 9, Хмельницька область, Кам’янець-Подільський</t>
  </si>
  <si>
    <t>Україна, вул. Путивльська, буд.35, м. Київ, м.Київ</t>
  </si>
  <si>
    <t>Україна, вул. Пушкіна, буд. 107, Дніпропетровська область, м. П'ятихатки</t>
  </si>
  <si>
    <t>Україна, вул. Південне шосе, 7, Запорізька область, м. Запоріжжя</t>
  </si>
  <si>
    <t>Україна, вул. Підвальна, 28-А, Київська область, Біла Церква</t>
  </si>
  <si>
    <t>Україна, вул. Підлісна, 4/1, Хмельницька область, с. Головчинці</t>
  </si>
  <si>
    <t>Україна, вул. Р. Купчинського, 14, Тернопільська область, Тернопіль</t>
  </si>
  <si>
    <t>Україна, вул. Радіна М.В.,2, Донецька область, Маріуполь</t>
  </si>
  <si>
    <t>Україна, вул. Родини Крушельницьких, 26, 28,  Роксолани, 7, Івано-Франківська область, Коломия</t>
  </si>
  <si>
    <t>Україна, вул. Романа Шухевича, 2-а, Житомирська область, Житомир</t>
  </si>
  <si>
    <t>Україна, вул. Роменська,10, Сумська область, смт. Липова Долина</t>
  </si>
  <si>
    <t>Україна, вул. Садова,104, Чернігівська область, місто Прилуки</t>
  </si>
  <si>
    <t>Україна, вул. Самійла  Кішки, 210/1, Черкаська область, м. Черкаси</t>
  </si>
  <si>
    <t>Україна, вул. Свободи, 59, Запорізька область, м. Бердянськ</t>
  </si>
  <si>
    <t>Україна, вул. Свято-Миколаївська, 27, Дніпропетровська область, Кривий Ріг</t>
  </si>
  <si>
    <t>Україна, вул. Свято-Миколаївська, буд. 27, Дніпропетровська область, м. Кривий Ріг</t>
  </si>
  <si>
    <t>Україна, вул. Свято-Покровська, 134, Чернівецька область, м.Хотин</t>
  </si>
  <si>
    <t>Україна, вул. Святого Миколая, буд. 61, Запорізька область, м. Запоріжжя</t>
  </si>
  <si>
    <t>Україна, вул. Святослава Ріхтера, 23, Житомирська область, м.Житомир</t>
  </si>
  <si>
    <t>Україна, вул. Свіштовська, 2, Полтавська область, Кременчук</t>
  </si>
  <si>
    <t>Україна, вул. Сердюка, 83, Полтавська область, с. Яхники</t>
  </si>
  <si>
    <t>Україна, вул. Серьогіна, 4, Запорізька область, м. Токмак</t>
  </si>
  <si>
    <t>Україна, вул. Соборна, буд. 70, Вінницька область, м. Вінниця</t>
  </si>
  <si>
    <t>Україна, вул. Соборна,7 або в інший структурний підрозділ підприємства у межах м.Маріполя, Донецька область, Мариуполь</t>
  </si>
  <si>
    <t>Україна, вул. Соборності, 227/7, Кіровоградська область, м. Новомиргород</t>
  </si>
  <si>
    <t>Україна, вул. Соціальна, 1   вул Стадіонна, 2, Запорізька область, с. Любицьке    с. Михайлівське</t>
  </si>
  <si>
    <t>Україна, вул. Соціальна, 1   вул. Стадіонна, 2, Запорізька область, с. Любицьке     с. Михайлівське</t>
  </si>
  <si>
    <t>Україна, вул. Соціальна. 1   вул. Стадіонна, 2, Запорізька область, с. Любицьке     с. Михайлівське</t>
  </si>
  <si>
    <t>Україна, вул. Сталеварів, 34, Запорізька область, м. Запоріжжя</t>
  </si>
  <si>
    <t>Україна, вул. Старий Шлях, Київська область, с. Требухів</t>
  </si>
  <si>
    <t>Україна, вул. Степана Бандери, 59, Хмельницька область, місто Шепетівка
Україна, вул. Островського, 42, Хмельницька область, місто Шепетівка
Україна, вул. Чкалова, 18 (Гімназія), Хмельницька область, Шепетівський район, село Пліщин
Україна, вул. Миру, 7 (ЗДО "Пролісок"), Хмельницька область, Шепетівський район, село Плесна</t>
  </si>
  <si>
    <t>Україна, вул. Строменко, буд. 5а, Дніпропетровська область, смт Солоне</t>
  </si>
  <si>
    <t>Україна, вул. Сумська, 55, Сумська область, м. Охтирка</t>
  </si>
  <si>
    <t>Україна, вул. Сяйво, буд. 10, Львівська область, Львів</t>
  </si>
  <si>
    <t>Україна, вул. Сікорського Ігоря, буд.4, Київська область, м.Яготин</t>
  </si>
  <si>
    <t>Україна, вул. Січова, 16, Волинська область, м.Луцьк</t>
  </si>
  <si>
    <t>Україна, вул. Таланова, 10-А, Дніпропетровська область, с.Раївка</t>
  </si>
  <si>
    <t>Україна, вул. Танкопія, б. 43, Харківська область, Харків</t>
  </si>
  <si>
    <t>Україна, вул. Тараса Шевченка, 42, Закарпатська область, м. Ужгород</t>
  </si>
  <si>
    <t>Україна, вул. Теплична, буд. 31, Дніпропетровська область, смт Слобожанське</t>
  </si>
  <si>
    <t>Україна, вул. Терека, буд. 42, Закарпатська область, смт Солотвино</t>
  </si>
  <si>
    <t>Україна, вул. Тиверська, 14, Вінницька область, смт. Тиврів</t>
  </si>
  <si>
    <t>Україна, вул. Тритузна, 168, Дніпропетровська область, м. Кам'янське</t>
  </si>
  <si>
    <t>Україна, вул. Тітаренка, буд. 24, Кіровоградська область, Олександрійський р-н, смт. Нова Прага</t>
  </si>
  <si>
    <t>Україна, вул. Тітаренка, буд. 24, Кіровоградська область, Олександрійський р-н, смт. Нова Прага
Україна, вул. Тітаренка, буд. 24, Кіровоградська область, смт. Нова Прага</t>
  </si>
  <si>
    <t>Україна, вул. Уляни Кравченко , 2 та ін відповідно приміток, Львівська область, м.Бібрка</t>
  </si>
  <si>
    <t>Україна, вул. Університетська, 1, Львівська область, Львів</t>
  </si>
  <si>
    <t>Україна, вул. Фастівська,2, Чернівецька область, м. Чернівці</t>
  </si>
  <si>
    <t>Україна, вул. Фізкультури,1, вул. Ділова 8-10, м. Київ, Київ</t>
  </si>
  <si>
    <t>Україна, вул. Хмельницьке шосе, 92, Вінницька область, м. Вінниця</t>
  </si>
  <si>
    <t>Україна, вул. Хрещатик, 32-а, м. Київ, м. Київ</t>
  </si>
  <si>
    <t>Україна, вул. Центральна , 101, Київська область, Фастівський район село Велика Снітинка</t>
  </si>
  <si>
    <t>Україна, вул. Центральна 44, Одеська область, с.Кошари</t>
  </si>
  <si>
    <t>Україна, вул. Центральна, 108, Донецька область, м. Селидове</t>
  </si>
  <si>
    <t>Україна, вул. Центральна, 21, Одеська область, село Новоборисівка</t>
  </si>
  <si>
    <t>Україна, вул. Центральна, 24, Полтавська область, Оржиця</t>
  </si>
  <si>
    <t>Україна, вул. Центральна, 27 до закладів освіти, що підпорядковуються Макіївській сільській раді, Чернігівська область, с.Макіївка</t>
  </si>
  <si>
    <t>Україна, вул. Ціолковського, 1, Одеська область, м.Одеса</t>
  </si>
  <si>
    <t>Україна, вул. Чарівна, буд. 30, Запорізька область, м.Запоріжжя</t>
  </si>
  <si>
    <t>Україна, вул. Червоного Хреста,3, Житомирська область, Житомир</t>
  </si>
  <si>
    <t>Україна, вул. Чернишевська 80, Харківська область, м.Харків</t>
  </si>
  <si>
    <t>Україна, вул. Чернишевського, буд. 3, Чернігівська область, місто Чернігів</t>
  </si>
  <si>
    <t>Україна, вул. Черняховського,5, Полтавська область, м.Лубни</t>
  </si>
  <si>
    <t>Україна, вул. Чкалова,4, Сумська область, м. Охтирка</t>
  </si>
  <si>
    <t>Україна, вул. Шевченка 15 А, Львівська область, м. Рудки</t>
  </si>
  <si>
    <t>Україна, вул. Шевченка, 1, Львівська область, Львів</t>
  </si>
  <si>
    <t>Україна, вул. Шевченка, 101, Чернігівська область, Корюківка</t>
  </si>
  <si>
    <t>Україна, вул. Шевченка, 108-А, Чернігівська область, м. Городня</t>
  </si>
  <si>
    <t>Україна, вул. Шевченка, 16, каб. 10 (Заклади  Замовника згідно Додатку №4 ), Житомирська область,  м. Новоград-Волинський</t>
  </si>
  <si>
    <t>Україна, вул. Шевченка, 50 Б, Чернігівська область, місто Чернігв</t>
  </si>
  <si>
    <t>Україна, вул. Шевченка, 57, Кіровоградська область, смт. Олександрівка</t>
  </si>
  <si>
    <t>Україна, вул. Шевченка, буд.30, Закарпатська область, смт. Кобилецька Поляна
Україна, вул. Макаренка ,буд.5 «А», Закарпатська область, с.Верхнє Водяне
Україна, вул. Лісова, буд. 5«А», Закарпатська область, с.Верхнє Водяне, присілок Ріка
Україна, вул. Першотравнева , буд.28, Закарпатська область, с.Верхнє Водяне, присілок Стримба
Україна, вул. Полонинська буд.1, Закарпатська область, с.Верхнє Водяне, присілок Тьовшаг
Україна, будинок 400 «А», Закарпатська область, с.Косівська Поляна
Україна, будинок 703, Закарпатська область, с.Косівська Поляна, присілок Березів-Ялинка
Україна, будинок 55, Закарпатська область, с.Косівська Поляна,присілок Банськи
Україна, вул. Спортивна, буд. 4, Закарпатська область, с.Водиця,
Україна, вул. Калинська буд.2, Закарпатська область, с.Водиця, присілок Плаюц
Україна, буд.476, Закарпатська область, с. Луг
Україна, буд.136, Закарпатська область, с.Росішка</t>
  </si>
  <si>
    <t>Україна, вул. Шевченка,76, Чернігівська область, м.Мена</t>
  </si>
  <si>
    <t>Україна, вул. Шевченко, 131 За місцем знаходження об'єктів Замовника на території Херсонської області, Херсонська область, смт. Новотроїцьке</t>
  </si>
  <si>
    <t>Україна, вул. Шинна, 26, Дніпропетровська область, м. Дніпро</t>
  </si>
  <si>
    <t>Україна, вул. Школа-інтернат, буд. 2, Запорізька область, смт. Залізничне</t>
  </si>
  <si>
    <t>Україна, вул. Шкільна, 1 , Львівська область, с.Великі Глібовичі</t>
  </si>
  <si>
    <t>Україна, вул. Шкільна, 2, Запорізька область, м. Запоріжжя</t>
  </si>
  <si>
    <t>Україна, вул. Шкільна, буд. 23, Дніпропетровська область, c.Вищетарасівка Томаківського району</t>
  </si>
  <si>
    <t>Україна, вул. Шухевича,1, Львівська область, м.Самбір</t>
  </si>
  <si>
    <t>Україна, вул. Ю. Савченка, 10, Дніпропетровська область, Дніпро</t>
  </si>
  <si>
    <t>Україна, вул. Ювілейна, 7, с.Київець, Львівська область, 81646, Україна; вул.Богдана Хмельницького, 33, Львівська область, с. Розвадів</t>
  </si>
  <si>
    <t>Україна, вул. Юрія Вєтрова, 24, Сумська область, м. Суми</t>
  </si>
  <si>
    <t>Україна, вул. Я. Мудрого, 49, Київська область, Біла Церква</t>
  </si>
  <si>
    <t>Україна, вул. ім. В. Ющенка, 47-В; м. Батурин вул. ім. В. Ющенка, 47;с. Городище, вул. Шевченка, 2; с. Красне, вул. Шкільна,1; с. Митченки, вул. Центральна, 31А; с. Обмачів, вул. Л. Українки,75., Чернігівська область, м. Батурин</t>
  </si>
  <si>
    <t>Україна, вул.Єгорова 2Б, Луганська область, м.Сєвєродонецьк</t>
  </si>
  <si>
    <t>Україна, вул.І.Мазепи,11, Львівська область, м.Яворів</t>
  </si>
  <si>
    <t>Україна, вул.Ів.Хрестителя,54, Львівська область, м.Яворів</t>
  </si>
  <si>
    <t>Україна, вул.Івана Богуна, 80, Херсонська область, м.Херсон</t>
  </si>
  <si>
    <t>Україна, вул.Івана Франка,буд 23, Житомирська область, Коростень</t>
  </si>
  <si>
    <t>Україна, вул.А.Чехова,23, Чернівецька область, м.Чернівці</t>
  </si>
  <si>
    <t>Україна, вул.Андрієвського,47, Хмельницька область, с.Лонки</t>
  </si>
  <si>
    <t>Україна, вул.Бахмутська, 20а, Донецька область, Маріуполь</t>
  </si>
  <si>
    <t>Україна, вул.Будкевича,2, Вінницька область, м.Бершадь</t>
  </si>
  <si>
    <t>Україна, вул.Бушуєва, 6, Житомирська область, Березівка</t>
  </si>
  <si>
    <t>Україна, вул.В.Чорновола,28/1, м. Київ, м.Київ</t>
  </si>
  <si>
    <t>Україна, вул.Варбанського,56ж, Запорізька область, Приморський район, село Преслав</t>
  </si>
  <si>
    <t>Україна, вул.Ветеринарна,19, Харківська область, м.Вовчанськ</t>
  </si>
  <si>
    <t>Україна, вул.Вільшанська, будинок 48, Вінницька область, місто Іллінці</t>
  </si>
  <si>
    <t>Україна, вул.Галицька 8, Львівська область, смт.Підбуж</t>
  </si>
  <si>
    <t>Україна, вул.Гальчевського, 34, Хмельницька область, Хмельницкий</t>
  </si>
  <si>
    <t>Україна, вул.Героїв Небесної Сотні,34, Хмельницька область, Шепетівка</t>
  </si>
  <si>
    <t>Україна, вул.Гетьманська,238, Дніпропетровська область, м.Новомосковськ</t>
  </si>
  <si>
    <t>Україна, вул.Гоголівська , будинок 67, Житомирська область, м.Житомир</t>
  </si>
  <si>
    <t>Україна, вул.Горбатюка 2, Хмельницька область, смт Летичів</t>
  </si>
  <si>
    <t>Україна, вул.Грушевського,67, Житомирська область, Коростень</t>
  </si>
  <si>
    <t>Україна, вул.Дніпровська, 585, Дніпропетровська область, Павлоград</t>
  </si>
  <si>
    <t>Україна, вул.Дружби,1, Вінницька область, с.Ободівка</t>
  </si>
  <si>
    <t>Україна, вул.Дружби,2, Рівненська область, смт Смига</t>
  </si>
  <si>
    <t>Україна, вул.Енергетиків 3, Хмельницька область, м.Нетішин</t>
  </si>
  <si>
    <t>Україна, вул.Затишна,2, Рівненська область, м.Костопіль</t>
  </si>
  <si>
    <t>Україна, вул.Зелинського, 43, Донецька область, Маріуполь</t>
  </si>
  <si>
    <t>Україна, вул.Калинова, 15а, Київська область, м.Фастів</t>
  </si>
  <si>
    <t>Україна, вул.Київська, буд.1, Миколаївська область, Миколаїв</t>
  </si>
  <si>
    <t>Україна, вул.Кобилянської,43, Чернівецька область, м. Сокиряни</t>
  </si>
  <si>
    <t>Україна, вул.Козацька, 86;вул. Мінська,12; Трояндова, 77; Дорошенко, 1., Донецька область, Дружківка</t>
  </si>
  <si>
    <t>Україна, вул.Котляревського,1, Київська область, м.Бориспіль</t>
  </si>
  <si>
    <t>Україна, вул.Красносільського,3, Чернігівська область, м.Борзна</t>
  </si>
  <si>
    <t>Україна, вул.Л.Толстого,8, Київська область, м.Фастів</t>
  </si>
  <si>
    <t>Україна, вул.Лагерна.40, м. Київ, м. Київ</t>
  </si>
  <si>
    <t>Україна, вул.Леваневського 27 а, Дніпропетровська область, Новомосковськ</t>
  </si>
  <si>
    <t>Україна, вул.Лукянівська 62, м. Київ, м. Київ</t>
  </si>
  <si>
    <t>Україна, вул.М.Амосова,8, Житомирська область, Коростень</t>
  </si>
  <si>
    <t>Україна, вул.Мельникова,14, м. Київ, м. Київ</t>
  </si>
  <si>
    <t>Україна, вул.Миколаївська,18, Миколаївська область, Миколаїв</t>
  </si>
  <si>
    <t>Україна, вул.Миру 46а, Луганська область, Рубіжне</t>
  </si>
  <si>
    <t>Україна, вул.Млинарська, 21, Івано-Франківська область, Івано-Франківськ</t>
  </si>
  <si>
    <t>Україна, вул.Монастирська,36, Полтавська область, м.Лубни</t>
  </si>
  <si>
    <t>Україна, вул.Надрічна, Львівська область, с.Острів (Червоноградська ОТГ)</t>
  </si>
  <si>
    <t>Україна, вул.Наукова, 60, Львівська область, Львів</t>
  </si>
  <si>
    <t>Україна, вул.Незалежності,1, Вінницька область, м.Ямпіль</t>
  </si>
  <si>
    <t>Україна, вул.Нескучанська, будинок 7, Сумська область, Тростянець</t>
  </si>
  <si>
    <t>Україна, вул.Олени Журливої,1 , Кіровоградська область, Кропивницький</t>
  </si>
  <si>
    <t>Україна, вул.П.Сагайдачного,30, Київська область, Боярка</t>
  </si>
  <si>
    <t>Україна, вул.Паркова,22, Волинська область, м.Горохів</t>
  </si>
  <si>
    <t>Україна, вул.Пашковського,4 , Донецька область, Мариуполь</t>
  </si>
  <si>
    <t>Україна, вул.Пересипкіна,5, Хмельницька область, м.Хельницький</t>
  </si>
  <si>
    <t>Україна, вул.Померанчука,15, Луганська область, м.Рубіжне</t>
  </si>
  <si>
    <t>Україна, вул.Правди, буд.4, Харківська область, м.Лозова</t>
  </si>
  <si>
    <t>Україна, вул.Привокзальна,31, Сумська область, м.Суми</t>
  </si>
  <si>
    <t>Україна, вул.Пушкіна 9, Хмельницька область, Меджибіж</t>
  </si>
  <si>
    <t>Україна, вул.Північно-Сирецька, 49, Київська область, Київ</t>
  </si>
  <si>
    <t>Україна, вул.С.Бандери, 108, Тернопільська область, м.Борщів</t>
  </si>
  <si>
    <t>Україна, вул.С.Бандери,23, Івано-Франківська область, Івано-Франківськ</t>
  </si>
  <si>
    <t>Україна, вул.С.Горєва 27(Заклади освіти підпорядковані Замовнику), Полтавська область, смт.Гоголеве</t>
  </si>
  <si>
    <t>Україна, вул.Соборна, будинок 19, Вінницька область, Микулинці</t>
  </si>
  <si>
    <t>Україна, вул.Сосновий бір,6, Сумська область, Тростянець</t>
  </si>
  <si>
    <t>Україна, вул.Софійська б.15, Хмельницька область, м.Старокостянтинів</t>
  </si>
  <si>
    <t>Україна, вул.Степана Бовкуна,1, Донецька область, м.Покровськ</t>
  </si>
  <si>
    <t>Україна, вул.Стрийська, 35, Львівська область, м. Львів</t>
  </si>
  <si>
    <t>Україна, вул.Січових Стрільців, 62, Львівська область, м.Турка</t>
  </si>
  <si>
    <t>Україна, вул.Театральна,10, Вінницька область, м.Вінниця</t>
  </si>
  <si>
    <t>Україна, вул.Тиха, 3, Одеська область, Ізмаїл</t>
  </si>
  <si>
    <t>Україна, вул.Університетська,33 (більш детально в оголошенні), Запорізька область, м.Бердянськ</t>
  </si>
  <si>
    <t>Україна, вул.Університетська,33, Запорізька область, м.Бердянськ</t>
  </si>
  <si>
    <t>Україна, вул.Фестивальна,1, Донецька область, м.Торецьк</t>
  </si>
  <si>
    <t>Україна, вул.Фещенка-Чопівського, 24/4, Житомирська область, Житомир</t>
  </si>
  <si>
    <t>Україна, вул.Франка, 14 А, Волинська область, м. Луцьк</t>
  </si>
  <si>
    <t>Україна, вул.Храноввського 12, Хмельницька область, м.Хмельницький</t>
  </si>
  <si>
    <t>Україна, вул.Центральна 9а, Хмельницька область, смт.Закупне</t>
  </si>
  <si>
    <t>Україна, вул.Центральна,41, Полтавська область, Нові Санжари</t>
  </si>
  <si>
    <t>Україна, вул.Чаадаєва Петра, будинок 3-А, м. Київ, м. Київ</t>
  </si>
  <si>
    <t>Україна, вул.Шевченка, б. № 203-а, Дніпропетровська область, м.Нікополь</t>
  </si>
  <si>
    <t xml:space="preserve">Україна, вул.Шевченка,34, Чернігівська область, с.Нова Басань </t>
  </si>
  <si>
    <t>Україна, вул.Шевченка,42, Львівська область, м.Борислав відповідно до адрес зазначених у тендерній документації</t>
  </si>
  <si>
    <t>Україна, вул.Широка, 29, Сокальський р-н, Львівська область, с. Лешків</t>
  </si>
  <si>
    <t>Україна, вул.Штефаника, 126, Закарпатська область, смт. Великий Березний</t>
  </si>
  <si>
    <t>Україна, вул.Ярослава Мудрого буд.49, Київська область, м.Біла Церква</t>
  </si>
  <si>
    <t>Україна, вулиця 23 Серпня, 39, Харківська область, місто Харків</t>
  </si>
  <si>
    <t>Україна, вулиця 40 років Перемоги, буд. 16, Херсонська область, Каховський р-н, с.Тавричанка</t>
  </si>
  <si>
    <t>Україна, вулиця Івана Франка, будинок, Одеська область, місто Ізмаїл</t>
  </si>
  <si>
    <t>Україна, вулиця Б. Хмельницького, 36, Вінницька область, місто Жмеринка</t>
  </si>
  <si>
    <t>Україна, вулиця Василя Симоненка, будинок  16, Київська область, Біла Церква</t>
  </si>
  <si>
    <t>Україна, вулиця Вербицького Архітектора, 5, м. Київ, м. Київ</t>
  </si>
  <si>
    <t>Україна, вулиця Виконкомівська, 22 , Дніпропетровська область, Божедарівка</t>
  </si>
  <si>
    <t>Україна, вулиця Вишнева 231, Запорізька область, село Орлове</t>
  </si>
  <si>
    <t>Україна, вулиця Водопровідна, 1, Одеська область, місто Одеса</t>
  </si>
  <si>
    <t>Україна, вулиця Володимира Великого, буд.21, Дніпропетровська область, місто Кривий Ріг</t>
  </si>
  <si>
    <t>Україна, вулиця Вячеслава Чорновола, будинок 79, Рівненська область, місто Рівне</t>
  </si>
  <si>
    <t>Україна, вулиця Відпочинку,  будинок 11, м. Київ, м. Київ</t>
  </si>
  <si>
    <t>Україна, вулиця Галицька, 26-А, Львівська область, Перемишляни</t>
  </si>
  <si>
    <t>Україна, вулиця Генерала Арабея, 7, Вінницька область, м. Вінниця</t>
  </si>
  <si>
    <t>Україна, вулиця Грушевського,будинок 8, Дніпропетровська область, м.Жовті Води</t>
  </si>
  <si>
    <t>Україна, вулиця Залізнична, 21, Львівська область, Броди</t>
  </si>
  <si>
    <t>Україна, вулиця Замостянська,  будинок 18, Вінницька область, Вінниця</t>
  </si>
  <si>
    <t>Україна, вулиця Зелена,77, Львівська область, село Созань</t>
  </si>
  <si>
    <t>Україна, вулиця Кавказька, 229, Черкаська область, місто Черкаси</t>
  </si>
  <si>
    <t>Україна, вулиця Кам'янецька, будинок 94, Хмельницька область, місто Хмельницький</t>
  </si>
  <si>
    <t>Україна, вулиця Космічна,8, Запорізька область, село Михайло-Лукашеве</t>
  </si>
  <si>
    <t>Україна, вулиця Коцюбинського, будинок,5, Сумська область, селище  Велика Писарівка</t>
  </si>
  <si>
    <t>Україна, вулиця Леоніда Бикова, 9, Сумська область, м. Суми</t>
  </si>
  <si>
    <t>Україна, вулиця Михайла Грушевського, 15, Кіровоградська область, Знам'янка</t>
  </si>
  <si>
    <t>Україна, вулиця М’ясоєдовська будинок 13, Одеська область, Одеса</t>
  </si>
  <si>
    <t>Україна, вулиця Наталії Оржевської,13, Житомирська область, місто Новоград-Волинський</t>
  </si>
  <si>
    <t>Україна, вулиця Павла Сніцара, 19, Кіровоградська область, місто Кропивницький</t>
  </si>
  <si>
    <t>Україна, вулиця Паркова будинок 26, Рівненська область, Радивилів</t>
  </si>
  <si>
    <t>Україна, вулиця Пашковського,4, КНП "Психіатрична лікарня м.Маріуполь", Донецька область, Маріуполь</t>
  </si>
  <si>
    <t>Україна, вулиця Перемоги, 27, Волинська область, с. Журавичі</t>
  </si>
  <si>
    <t>Україна, вулиця Приморська,35, Одеська область, м. Одеса</t>
  </si>
  <si>
    <t>Україна, вулиця Професора Підвисоцького, будинок 4А, м. Київ, м. Київ</t>
  </si>
  <si>
    <t>Україна, вулиця Садова, будинок 2, Київська область, Києво-Святошинський район, с. Дмитрівка</t>
  </si>
  <si>
    <t>Україна, вулиця Середня, будинок 8, Рівненська область, с. Головниця</t>
  </si>
  <si>
    <t>Україна, вулиця Степана Бовкуна, будинок 1, Донецька область, місто Покровськ</t>
  </si>
  <si>
    <t>Україна, вулиця Тернопільська, 15/2, Хмельницька область, місто Хмельницький</t>
  </si>
  <si>
    <t>Україна, вулиця Центральна, буд. 97, Запорізька область, Бердянський район,село Азовське</t>
  </si>
  <si>
    <t>Україна, вулиця Центральна, будинок 2А за адресами підпорядкованих закладів, Вінницька область, село Лука-Мелешківська</t>
  </si>
  <si>
    <t>Україна, вулиця Центральна, будинок 4, Хмельницька область, с. Голенищево,</t>
  </si>
  <si>
    <t>Україна, вулиця Червоного Хреста, будинок 8, Волинська область, місто Луцьк</t>
  </si>
  <si>
    <t>Україна, вулиця Шевченка, 50Б, Чернігівська область, місто Чернігів</t>
  </si>
  <si>
    <t>Україна, вулиця Шевченко, 108, Сумська область, село Зарічне</t>
  </si>
  <si>
    <t>Україна, вулиця Шкільна, б.10, Донецька область, м.Селидове, смт. Комишівка</t>
  </si>
  <si>
    <t>Україна, вулиці Територіальної громади міста Вознесенська, Миколаївська область, м. Вознесенськ</t>
  </si>
  <si>
    <t>Україна, вуо. 2 Слобідська, 140, Миколаївська область, м. Миколаїв</t>
  </si>
  <si>
    <t xml:space="preserve">Україна, відділення стаціонарного догляду Виноградна,1 , Одеська область, с.Круті </t>
  </si>
  <si>
    <t>Україна, до додатку 3 до договору, Дніпропетровська область, відповідно</t>
  </si>
  <si>
    <t>Україна, доківська, 2, Київська область, селище Коцюбинське</t>
  </si>
  <si>
    <t>Україна, дошкільні заклади та заклади загальної середньої освіти Обухівської міської територіальної громади Київської області, Київська область, м. Обухів</t>
  </si>
  <si>
    <t>Україна, за адресами Замовника в м. Запоріжжя: вул. Шкільна, 2; вул. Рекордна, 34 б; вул. Складська, 13; вул. Південне шосе, 13, Запорізька область, м. Запоріжжя</t>
  </si>
  <si>
    <t>Україна, за адресами закладів освіти м.  Чугуєва та Управління освіти Чугуївської міської ради , Харківська область, .</t>
  </si>
  <si>
    <t>Україна, за адресами замовника згідно Додатку 4 (лот 1), Кіровоградська область, по м. Кропивницький</t>
  </si>
  <si>
    <t>Україна, за адресами замовника згідно Додатку 4 (лот 10), Кіровоградська область, по м. Світловодськ</t>
  </si>
  <si>
    <t>Україна, за адресами замовника згідно Додатку 4 (лот 11), Кіровоградська область, по м. Новомиргород</t>
  </si>
  <si>
    <t>Україна, за адресами замовника згідно Додатку 4 (лот 12), Кіровоградська область, по м. Новоукраїнка</t>
  </si>
  <si>
    <t>Україна, за адресами замовника згідно Додатку 4 (лот 13), Кіровоградська область, по смт.Добровеличківка</t>
  </si>
  <si>
    <t>Україна, за адресами замовника згідно Додатку 4 (лот 2), Кіровоградська область, по м. Благовіщенське</t>
  </si>
  <si>
    <t>Україна, за адресами замовника згідно Додатку 4 (лот 3), Кіровоградська область, по м. Гайворон</t>
  </si>
  <si>
    <t>Україна, за адресами замовника згідно Додатку 4 (лот 4), Кіровоградська область, по м. Долинська</t>
  </si>
  <si>
    <t>Україна, за адресами замовника згідно Додатку 4 (лот 5), Кіровоградська область, по смт. Петрове</t>
  </si>
  <si>
    <t>Україна, за адресами замовника згідно Додатку 4 (лот 6), Кіровоградська область, по м.Олександрія</t>
  </si>
  <si>
    <t>Україна, за адресами замовника згідно Додатку 4 (лот 7), Кіровоградська область, по смт. Вільшанка</t>
  </si>
  <si>
    <t>Україна, за адресами замовника згідно Додатку 4 (лот 8), Кіровоградська область, по смт. Олександрівка</t>
  </si>
  <si>
    <t>Україна, за адресами замовника згідно Додатку 4 (лот 9), Кіровоградська область, по м. Знам’янка</t>
  </si>
  <si>
    <t>Україна, за адресами замовника, Львівська область, м. Рудки</t>
  </si>
  <si>
    <t>Україна, за адресами місцевих загальних судів міста Харкова та Харківської області, Харківська область, м. Харків</t>
  </si>
  <si>
    <t>Україна, за адресами навчальних закладів відділу освіти Чуднівської міської ради, Житомирська область, Житомирський район Чуднівська ОТГ</t>
  </si>
  <si>
    <t>Україна, за адресами піднаглядних установ згідно Додатку 1, Київська область, селище міського типу Калинівка</t>
  </si>
  <si>
    <t>Україна, за адресами підпорядкованих закладів замовника, Черкаська область, Кам'янський район</t>
  </si>
  <si>
    <t>Україна, за адресою бази відвантаження учасника, Харківська область, м. Харків</t>
  </si>
  <si>
    <t>Україна, за адресою закладу Учасника – переможця , Донецька область, м. Лиман</t>
  </si>
  <si>
    <t>Україна, за адресою закладів освіти підпорядкованих Замовнику, Черкаська область, Золотоніський район</t>
  </si>
  <si>
    <t>Україна, за місцезнаходженням АЗС Учасника на території смт. Черняхів, Житомирська область, смт. Черняхів</t>
  </si>
  <si>
    <t>Україна, за місцезнаходженням Виконавця , Харківська область, м. Харків</t>
  </si>
  <si>
    <t>Україна, за місцезнаходженням учасника-переможця спрощеної закупівлі, м. Київ, відповідно до оголошення про проведення спрощеної закупівлі</t>
  </si>
  <si>
    <t>Україна, за місцем розташування матеріально-технічної бази учасника-переможця процедури відкритих торгів, Житомирська область, згідно умов тендерної документації</t>
  </si>
  <si>
    <t>Україна, за об'єктами замовника, Львівська область, м. Рудки</t>
  </si>
  <si>
    <t>Україна, зазначені в Додатку 2 до оголошення про проведення спрощеної закупівлі, Харківська область, адреси для надання послуг з технічного обслуговування електричних мереж та електроустановок</t>
  </si>
  <si>
    <t>Україна, заклад (лабораторія) Учасника, Волинська область, м.Луцьк</t>
  </si>
  <si>
    <t>Україна, заклад виконавця, Волинська область, м.Луцьк</t>
  </si>
  <si>
    <t>Україна, заклади дошкільної та загальної середньої освіти Джулинської територіальної громади, Вінницька область, Гайсинський район</t>
  </si>
  <si>
    <t>Україна, заклади загальної середньої освіти та заклади культури Повчанської сільської ради, Рівненська область, Повча</t>
  </si>
  <si>
    <t>Україна, згідно додатку № 4 до Оголошення, Хмельницька область, заклади освіти Чорноострівської селищної ради
Україна, згідно додатку № 4 до оголошення., Хмельницька область, заклади освіти Чорноострівської селищної ради</t>
  </si>
  <si>
    <t>Україна, комплекс будівель та споруд №4 будівля №1, Харківська область, Піски-Радьківські</t>
  </si>
  <si>
    <t>Україна, м-н Вараш, 36, Рівненська область, м. Вараш</t>
  </si>
  <si>
    <t>Україна, м-н Вараш, 36, Рівненська область, м.Вараш</t>
  </si>
  <si>
    <t>Україна, м.Василівка,с.Скелька,с.В.Криниця,с.Камянське,с.Підгірне,с.Широке,межа балансової належності електроустановок замовника, Запорізька область, м.Василівка</t>
  </si>
  <si>
    <t>Україна, м.Дніпро, вул. Соборна, 14, вул.. Ближня, 31 Кам’янське, пр. Аношкіна,67-2.   м. Жовті Води пров. Капітальний, 1 м. Кривий Ріг вул. Криворожсталі, 2Б.   м. Апостолове  вул. Медична, 63.  м. Нікополь, вул. 50 років НЗФ, 2А;    м. Новомосковськ, вул. Гетьманська, 238   м. Павлоград, вул. Дніпровська, 541, смт. Петриківка, пр. Калнишевського,56.  смт. Солоне, вул. Усенко,13, м. Синельниково, вул. Миру,52, смт. Межова, вул. Сонячна, 12., Дніпропетровська область, Дніпро та Дніпропетровська область
Україна, м.Дніпро, вул. Соборна, 14, вул.. Ближня, 31 Кам’янське, пр. Аношкіна,67-2.   м. Жовті Води пров. Капітальний, 1 м. Кривий Ріг вул. Криворожсталі, 2Б.   м. Апостолове  вул. Медична, 63.  м. Нікополь, вул. 50 років НЗФ, 2А;    м. Новомосковськ, вул. Гетьманська, 238   м. Павлоград, вул. Дніпровська, 541, смт. Петриківка, пр. Калнишевського,56.  смт. Солоне, вул. Усенко,13, м. Синельниково, вул. Миру, 52, смт. Межова, вул. Сонячна, 12., Дніпропетровська область, Дніпро та Дніпропетровська область</t>
  </si>
  <si>
    <t>Україна, майдан Волі,1, Тернопільська область, м. Тернопіль</t>
  </si>
  <si>
    <t>Україна, майдан Гайдамаків, 22 та 24, Львівська область, м. Городок</t>
  </si>
  <si>
    <t>Україна, майдан Незалежності, будинок 2, Хмельницька область, місто Хмельницький</t>
  </si>
  <si>
    <t>Україна, майдан Праці, 1, Дніпропетровська область, Кривий Ріг</t>
  </si>
  <si>
    <t>Україна, населенні пункти Шосткинської міської територіальної громади, Сумська область, населенні пункти Шосткинської міської територіальної громади</t>
  </si>
  <si>
    <t>Україна, об’єкти ОКП «Миколаївоблтеплоенерго» в м. Миколаєві та Миколаївській області на території України, підключені до місцевих розподільчих мереж відповідно до вимог Кодексу розподільчих систем, Миколаївська область, м.Миколаїв</t>
  </si>
  <si>
    <t>Україна, оглядовий майданчик по вул. Правди, Запорізька область, місто Бердянськ</t>
  </si>
  <si>
    <t>Україна, осавули  Василя  Бурки,40, Черкаська область, Сміла</t>
  </si>
  <si>
    <t>Україна, паркова,13, Луганська область, смт Нижнє</t>
  </si>
  <si>
    <t>Україна, пл. Гагаріна, буд. 3, Дніпропетровська область, м. Кам'янське</t>
  </si>
  <si>
    <t>Україна, пл. Козацької Слави, 2, Сумська область, с. Верхня Сироватка</t>
  </si>
  <si>
    <t>Україна, пл. О. Поля, буд. 2, Дніпропетровська область, м. Верхньодніпровськ</t>
  </si>
  <si>
    <t>Україна, пл. Поштова, 3, Закарпатська область, м. Ужгород</t>
  </si>
  <si>
    <t>Україна, площ.Собрна,3, Сумська область, Охтирка</t>
  </si>
  <si>
    <t>Україна, площа 600- річчя Ярмолинець, будинок 1, Хмельницька область, смт Ярмолинці</t>
  </si>
  <si>
    <t>Україна, площа Героїв Майдану,8, Полтавська область, місто Пирятин</t>
  </si>
  <si>
    <t>Україна, площа Народна,2, Закарпатська область, м.Іршава</t>
  </si>
  <si>
    <t>Україна, площа Свободи, 1, Херсонська область, м. Херсон</t>
  </si>
  <si>
    <t>Україна, площа Соборна 14, Дніпропетровська область, Дніпро</t>
  </si>
  <si>
    <t>Україна, пр-т Гагаріна, 137 Слобідський р-н, Харківська область, Харків</t>
  </si>
  <si>
    <t>Україна, пр. Аношкіна, 85, Дніпропетровська область, Кам'янське</t>
  </si>
  <si>
    <t>Україна, пр. Богдана Хмельницького, 17, Дніпропетровська область, Дніпро</t>
  </si>
  <si>
    <t>Україна, пр. Маяковського, буд. 26, Вознесенівський р-н, Запорізька область, ЗАПОРІЖЖЯ</t>
  </si>
  <si>
    <t>Україна, пр. Маяковського, буд.26, Вознесенівський р-н, Запорізька область, ЗАПОРІЖЖЯ</t>
  </si>
  <si>
    <t>Україна, пр. Металургів, 54, Донецька область, Маріуполь</t>
  </si>
  <si>
    <t>Україна, пр. Свободи 20-а, Дніпропетровська область, Кам'янське</t>
  </si>
  <si>
    <t>Україна, пр. Соборний, 206, вул. Зелінського, 3, Запорізька область, Запоріжжя</t>
  </si>
  <si>
    <t>Україна, пр. Хіміків, 76; вул. Припортова, 5 - котельня припортового району; вул. Симиренківська (Рябоконя), 37 – підкачуюча насосна станція -3., Черкаська область, м. Черкаси</t>
  </si>
  <si>
    <t>Україна, пр. Центральний, 59-А, Луганська область, місто Сєвєродонецьк</t>
  </si>
  <si>
    <t>Україна, пр. Ювілейний, 54-Б , Харківська область, м.Харків</t>
  </si>
  <si>
    <t>Україна, пр.Григорівського десанту, будинок 26 а, Одеська область, Южне</t>
  </si>
  <si>
    <t>Україна, пр.Маяковського, 29, Київська область, Київ</t>
  </si>
  <si>
    <t>Україна, пр.Науки.4, Харківська область, Харків</t>
  </si>
  <si>
    <t>Україна, пр.Нахімова,35, вул.Новоросійська,28, Донецька область, Маріуполь</t>
  </si>
  <si>
    <t>Україна, пр.Нікопольський , буд.139, Донецька область, м.Маріуполь</t>
  </si>
  <si>
    <t>Україна, пр.О.Поля 48, Дніпропетровська область, Дніпро</t>
  </si>
  <si>
    <t>Україна, пров. Єрмака, 31, Донецька область, Маріуполь</t>
  </si>
  <si>
    <t>Україна, пров. Кінний, 3, Кіровоградська область, м. Кропивницький</t>
  </si>
  <si>
    <t>Україна, пров. Червоноглинський, буд. 4А, Одеська область, Арциз</t>
  </si>
  <si>
    <t>Україна, пров. Шкільний, буд.5, Запорізька область, м. Василівка</t>
  </si>
  <si>
    <t>Україна, пров.Заячий 10-б, Полтавська область, м.Полтава
Україна, вул. Лісна, 49, Полтавська область, м. Лубни
Україна, вул. Сковороди, 8, Полтавська область, м. Полтава</t>
  </si>
  <si>
    <t>Україна, пров.Робочий,12, Херсонська область, м.Херсон смт.Комишани</t>
  </si>
  <si>
    <t>Україна, провулок Героїв Бреста 35а, Полтавська область, Кременчук</t>
  </si>
  <si>
    <t>Україна, провулок Матросова, 5, Донецька область, Волноваха</t>
  </si>
  <si>
    <t>Україна, просп. Богдана Хмельницького, 19, Дніпропетровська область, Дніпро</t>
  </si>
  <si>
    <t>Україна, просп. Гімназичний, 31, Дніпропетровська область, Кам'янське</t>
  </si>
  <si>
    <t>Україна, просп. Науки, 17-А, Харківська область, Харків</t>
  </si>
  <si>
    <t>Україна, просп. Ювілейний, 54-Б , Харківська область, м.Харків</t>
  </si>
  <si>
    <t>Україна, проспект  Хіміків, 76, Черкаська область, м. Черкаси</t>
  </si>
  <si>
    <t>Україна, проспект Богдана Хмельницького, 49а, Дніпропетровська область, м.Дніпро</t>
  </si>
  <si>
    <t>Україна, проспект Богоявленський,336, Миколаївська область, Миколаїв</t>
  </si>
  <si>
    <t>Україна, проспект Будівельників, 33, Запорізька область, місто Енергодар</t>
  </si>
  <si>
    <t>Україна, проспект Визволителів, 6, Київська область, Київ</t>
  </si>
  <si>
    <t>Україна, проспект Голосіївський, 59 - А, м. Київ, Київ</t>
  </si>
  <si>
    <t>Україна, проспект Ентузіастів 14, Запорізька область, місто Дніпрорудне</t>
  </si>
  <si>
    <t>Україна, проспект Ломоносова,101;1, Донецька область, Костянтинівка</t>
  </si>
  <si>
    <t>Україна, проспект Московський, 153, Харківська область, Харків</t>
  </si>
  <si>
    <t>Україна, проспект Науки, 53, Київська область, м. Київ</t>
  </si>
  <si>
    <t>Україна, проспект Перемоги, 38, м. Київ, м. Київ</t>
  </si>
  <si>
    <t>Україна, проспект Першотравневий, 20, КУ «Полтавський міський парк культури та відпочинку «Перемога», Полтавська область, м. Полтава</t>
  </si>
  <si>
    <t>Україна, проспект Президента  Грушевського, 21, Волинська область, м. Луцьк</t>
  </si>
  <si>
    <t>Україна, проспект Тракторобудівників, 142-А, 3 поверх, Харківська область, Харків
Україна, проспект Тракторобудівників, 142-А, Харківська область, Харків</t>
  </si>
  <si>
    <t>Україна, проспект Університетський, 2/5, Кіровоградська область, Кропивницький</t>
  </si>
  <si>
    <t>Україна, підпорядкованих Замовнику закладів, Кіровоградська область, За адресами</t>
  </si>
  <si>
    <t>Україна, підпорядковані навчальні заклади Замовника, які розташовані на території Малинської міської територіальної громади, Житомирська область, Коростенський р-н</t>
  </si>
  <si>
    <t>Україна, райони Івано-Франківської област, Івано-Франківська область, райони Івано-Франківської області</t>
  </si>
  <si>
    <t>Україна, с.Городнє, вулиця Широка будинок 39, Одеська область, с.Городнє, вулиця Широка будинок 39</t>
  </si>
  <si>
    <t>Україна, с.Поромів, Волинська область, Іваничівський р-н</t>
  </si>
  <si>
    <t>Україна, смт.Ворохта,вул.Д,Галицького,5, Івано-Франківська область, Яремче</t>
  </si>
  <si>
    <t>Україна, територія міста  Вільногірськ, Дніпропетровська область, Вільногірськ</t>
  </si>
  <si>
    <t>Україна, територія міста ( за заявками Замовника), Харківська область, місто Харків</t>
  </si>
  <si>
    <t>Україна, точки комерційного обліку об’єктів споживача, Івано-Франківська область, місто Івано-Франківськ</t>
  </si>
  <si>
    <t>Україна, ул. Каштанова,6, м. Київ, м.Київ</t>
  </si>
  <si>
    <t>Україна, ул.Пушкина, б. 83, Полтавська область, м.Полтава</t>
  </si>
  <si>
    <t>Україна, урочище Вознесенське, Чернівецька область, Банчени, Герцаївського району</t>
  </si>
  <si>
    <t>Україна, установи та заклади Управління освіти Сновської міської ради Корюківського району Чернігівської області, Чернігівська область, м. Сновськ</t>
  </si>
  <si>
    <t>Україна, шосе Чороновола,1-А, Херсонська область, м.Херсон</t>
  </si>
  <si>
    <t>Україна, – Лобойківський ліцей  Петриківської селищної ради (Адреса: вул.Кооперативна , 9,с.Лобойківка, Дніпропетровська область, 51830);   -Чаплинський ліцей  Петриківської селищної ради (Адреса: вул.Калинова, 2 с. Чаплинка, Дніпропетровська область, 51820),   -Єлизаветівський ліцей  Петриківської селищної ради (Адреса:Центральна Площа,3, с. Єлизаветівка, Дніпропетровська область, 51831);  -Курилівський ліцей  Петриківської селищної ради (Адреса:Макаренка,2, смт Курилівка, Дніпропетровська область, 51840);   -Шульгівський ліцей  Петриківської селищної ради (Адреса:Вул.Центральна,103, с. Шульгівка, Дніпропетровська область,51810);   -Іванівський ліцей Петриківської селищної ради(Адреса:Вул.Центральна,78в, с. Іванівка, Дніпропетровська область,51812);   -Комунальний заклад дошкільної освіти (ясла –садочок)-«Карапузи» Петриківської селищної ради (Адреса:вул. Соборна, 5в,с. Єлизаветівка, Дніпропетровської обл. 51831);   -Комунальний заклад дошкільної освіти (ясла-садочок) «Ялинонька» Петриківської селищної ради (Адреса:Вул.Центральна,75, с. Іванівка, Дніпропетровська область,51812);   -Комунальний заклад дошкільної освіти  (ясла-садочок)«Метелики» Петриківської селищної ради (Адреса:вул. Пати ,5,с. Лобойківка, Дніпропетровська область, 51830);   -Петриківський ліцей  Петриківської селищної ради (Адреса:Проспект Петра Калнишевського, 71а,смт Петриківка, Дніпропетровська область, 51800);  - Хутірський ліцей  Петриківської селищної ради (Адреса:Вул.Шкільна,4,с.Хутірське, Дніпропетровська область, 51800);   -Малопетриківська  гімназія-філія  Петриківського ліцею  Петриківської селищної ради (Адреса:Вул.Шкільна,3а,с.Мала Петриківка, Дніпропетровська область, 51800);  -Петриківська  гімназія-філія  Петриківського ліцею  Петриківської селищної ради (Адреса:Вул.Шевченка ,3а,смт. Петриківка, Дніпропетровська область, 51800);  - Заклад  дошкільної освіти (ясла-садочок)№1 «Сонечко» Петриківської селищної ради (Адреса:Вул.Народна,22,смт Петриківка, Дніпропетровська область, 51800);   -Комунальний заклад дошкільної освіти (ясла-садочок) «Світ дошкілля» Петриківської селищної ради (Адреса:Вул.Центральна,242, смт Курилівка, Дніпропетровська область, 51840);   -Заклад  дошкільної освіти (ясла-садочок)№2 «Ромашка» Петриківської селищної ради (Адреса:Вул.Леваневського,10а,смт Петриківка, Дніпропетровська область, 51800);  -Управління освіти ,молоді та спорту Петриківської селищної ради (Адреса :проспект Петра Калнишевського,71,смт Петриківка,Дніпропетровська область,51800), Дніпропетровська область, за адресами закладів освіти</t>
  </si>
  <si>
    <t>Укроборонпром ДП "МИКОЛАЇВСЬКИЙ БРОНЕТАНКОВИЙ ЗАВОД"</t>
  </si>
  <si>
    <t>Умови оплати</t>
  </si>
  <si>
    <t>Універсальні та спеціалізовані машини різні.</t>
  </si>
  <si>
    <t>Управління  соціального захисту населення Дарницької районної в місті Києві державної адміністрації</t>
  </si>
  <si>
    <t>Управління (центр) надання адміністративних послуг Печерської районної в місті Києві державної адміністрації</t>
  </si>
  <si>
    <t>Управління Державної казначейської служби у Снятинському районі</t>
  </si>
  <si>
    <t>Управління адміністративними будинками Державного управління справами</t>
  </si>
  <si>
    <t>Управління архітектури, капітального будівництва та житлово-комунального господарства Вільногірської міської ради Дніпропетровської області</t>
  </si>
  <si>
    <t>Управління будівництва, житлово - комунального господарства, інфраструктури та транспорту Броварської міської ради Броварського району Київської області</t>
  </si>
  <si>
    <t>Управління водопровідно-каналізаційного господарства</t>
  </si>
  <si>
    <t>Управління державної міграційної служби України у Вінницькій області</t>
  </si>
  <si>
    <t>Управління житлово-комунального господарства Жмеринської міської ради Вінницької області</t>
  </si>
  <si>
    <t>Управління житлово-комунального господарства Первомайської міської ради</t>
  </si>
  <si>
    <t>Управління житлово-комунального господарства та капітального будівництва Вознесенської міської ради</t>
  </si>
  <si>
    <t>Управління житлово-комунального господарства та капітального будівництва Новомосковської міської ради</t>
  </si>
  <si>
    <t>Управління житлово-комунального господарства, благоустрою та екології Тернопільської міської ради</t>
  </si>
  <si>
    <t xml:space="preserve">Управління з питань надзвичайних ситуацій та цивільного захисту населення Кам'янської міської ради </t>
  </si>
  <si>
    <t>Управління з питань попередження надзвичайних ситуацій та цивільного захисту населення Запорізької міської ради</t>
  </si>
  <si>
    <t>Управління капітального будівництва, реконструкції та технічного нагляду виконавчого комітету Бердянської міської ради</t>
  </si>
  <si>
    <t>Управління культури Голосіївської районної в місті Києві державної адміністрації</t>
  </si>
  <si>
    <t>Управління культури Деснянської районної в місті Києві державної адміністрації</t>
  </si>
  <si>
    <t>Управління культури, молоді та туризму виконавчого комітету Фастівської міської ради</t>
  </si>
  <si>
    <t>Управління освіти Голосіївської районної в місті Києві державної адміністрації</t>
  </si>
  <si>
    <t>Управління освіти Дарницької районної в місті Києві державної адміністрації</t>
  </si>
  <si>
    <t>Управління освіти Деснянської районної в місті Києві державної адміністрації</t>
  </si>
  <si>
    <t>Управління освіти Дніпровської районної в місті Києві державної адміністрації</t>
  </si>
  <si>
    <t xml:space="preserve">Управління освіти Костянтинівської міської ради </t>
  </si>
  <si>
    <t>Управління освіти Курахівської міської ради</t>
  </si>
  <si>
    <t>Управління освіти Оболонської районної в місті Києві державної адміністрації</t>
  </si>
  <si>
    <t xml:space="preserve">Управління освіти Чугуївської міської ради </t>
  </si>
  <si>
    <t>Управління освіти Шевченківської районної в місті Києві державної адміністрації</t>
  </si>
  <si>
    <t>Управління освіти виконавчого комітету Обухівської міської ради</t>
  </si>
  <si>
    <t>Управління освіти виконавчого комітету Фастівської міської ради</t>
  </si>
  <si>
    <t>Управління освіти та інноваційного розвитку Печерської районної в місті Києві державної адміністрації</t>
  </si>
  <si>
    <t>Управління освіти, молоді та спорту Лиманської міської ради</t>
  </si>
  <si>
    <t>Управління освіти, молоді, спорту та національно-патріотичного виховання виконавчого комітету Малинської міської ради</t>
  </si>
  <si>
    <t>Управління освіти, сім'ї, молоді та спорту Сновської міської ради</t>
  </si>
  <si>
    <t>Управління освіти,молоді та спорту Петриківської селищної ради</t>
  </si>
  <si>
    <t>Управління соціального захисту населення Білоцерківської райдержадміністрації</t>
  </si>
  <si>
    <t>Управління соціального захисту населення Печерської районної в місті Києві державної адміністрації</t>
  </si>
  <si>
    <t>Управління інженерного захисту території міста та розвитку узбережжя Одеської міської ради</t>
  </si>
  <si>
    <t>Утилізація/видалення сміття та поводження зі сміттям (Послуги зі збирання та перевезення сміття, Захоронення/утилізація сміття)</t>
  </si>
  <si>
    <t>Утилізація/видалення сміття та поводження зі сміттям (послуги з поводженння з побутовими відходами</t>
  </si>
  <si>
    <t>ФІЛІЯ "ВОКЗАЛЬНА КОМПАНІЯ " АКЦІОНЕРНОГО ТОВАРИСТВА "УКРАЇНСЬКА ЗАЛІЗНИЦЯ"</t>
  </si>
  <si>
    <t>ФІЛІЯ "ЦЕНТР ЗАБЕЗПЕЧЕННЯ ВИРОБНИЦТВА" АКЦІОНЕРНОГО ТОВАРИСТВА "УКРАЇНСЬКА ЗАЛІЗНИЦЯ"</t>
  </si>
  <si>
    <t>ФОНД ДЕРЖАВНОГО МАЙНА УКРАЇНИ</t>
  </si>
  <si>
    <t>Фарби</t>
  </si>
  <si>
    <t>Фармацевтична продукція</t>
  </si>
  <si>
    <t>Фармацевтична продукція (Fentanyl, Trimeperidine, Diazepam, Sodium oxybate, Ketamine) код 021:2015 - 33600000-6</t>
  </si>
  <si>
    <t>Фармацевтична продукція (Rabies immunoglobulin; rabies, inactivated, whole virus; tetanus toxoid) код 021:2015 - 33600000-6</t>
  </si>
  <si>
    <t>Фармацевтична продукція (ДИТИЛІН (Suxamethonium), ТІОПЕНТАЛ (Thiopental), ПРОПОФОЛ-НОВО (Propofol), АТРАКУРІУМ-НОВО (Atracurium), НОВОСТЕЗИН (Bupivacaine)</t>
  </si>
  <si>
    <t>Фармацевтична продукція (ОМНОПОН-ЗН (Morphine, combinations), МОРФІНУ ГІДРОХЛОРИД (Morphine), ПРОМЕДОЛ-ЗН (Trimeperidine), ФЕНТАНІЛ (Fentanyl), КЕТАМІН (Ketamine), НАТРІЮ ОКСИБУТИРАТ (Sodium oxybate), СИБАЗОН (Diazepam)</t>
  </si>
  <si>
    <t>Фармацевтична продукція за кодом  ДК 021:2015 - 33600000-6 (ГЛЮКОЗА (МНН: Glucose, ДК 021:2015 - 33621000-9 Лікарські засоби для лікування захворювань крові й органів кровотворення); ДЕКСАМЕТАЗОН(МНН: Dexamethasone, ДК 021:2015- 33642200-4 -Кортикостероїди для системного застосування); ЕУФІЛІН (МНН: Theophylline, ДК 021:2015- 33692500-2Розчини для ін'єкцій); ЛОРАТАДИН (МНН: Loratadine , ДК 021:2015 – 33675000-2 Антигістамінні засоби для системного застосування); ДРОТАВЕРИН (МНН: Drotaverine, ДК 021:2015 - 33610000-9 Лікарські засоби для лікування захворювань шлунково-кишкового тракту та розладів обміну речовин); НАТРІЮ ХЛОРИД (МНН: Sodium chloride, ДК 021:2015 -  33692510-5 Рідини для внутрішньовенного введення); ПРЕДНІЗОЛОН (МНН: Prednisolone,  ДК 021:2015 - 33642200-4 Кортикостероїди для системного застосування);  ЦЕБОПІМ (МНН: Cefepime, ДК 021:2015 - 33631400-6 - Антибіотики та хіміотерапевтичні засоби для лікування дерматологічних захворювань); ЦЕФТРИАКСОН (МНН: Ceftriaxone, ДК 021:2015 - 33631400-6 Антибіотики та хіміотерапевтичні засоби для лікування дерматологічних захворювань))</t>
  </si>
  <si>
    <t xml:space="preserve">Фармацевтична продукція:Загальні протиінфекційні засоби для системного застосування та вакцини
</t>
  </si>
  <si>
    <t>Фармацевтична продукція:Медичні розчини</t>
  </si>
  <si>
    <t xml:space="preserve">Фармацевтична продукція:Реактиви та контрасні речовини – код  згідно національного класифікатора України ДК 021:2015  «Єдиний  закупівельний  словник»  3369600-5  Реактиви та контрасні речовини </t>
  </si>
  <si>
    <t>Фармацевтична продукція:лікарські засоби різні - код  згідно національного класифікатора України ДК 021:2015  «Єдиний  закупівельний  словник»  33690000-3 - Лікарські засоби різні</t>
  </si>
  <si>
    <t xml:space="preserve">Фармацевтична продукція:наркотичні лікарські засоби -  код  згідно національного класифікатора України ДК 021:2015  «Єдиний  закупівельний  словник» 33690000-3 Лікарські засоби різні </t>
  </si>
  <si>
    <t>Флакон</t>
  </si>
  <si>
    <t>Фотокопіювальне та поліграфічне обладнання для офсетного друку (картриджи)</t>
  </si>
  <si>
    <t>Фотохімікати (Плівка рентгенівська, концентрований проявник, концентрований фіксаж)</t>
  </si>
  <si>
    <t>Фрукти</t>
  </si>
  <si>
    <t>Фрукти та овочі</t>
  </si>
  <si>
    <t>Фруктові соки в асортименті (ДК 021:2015:15320000-7 – Фруктові та овочеві соки)</t>
  </si>
  <si>
    <t>Фруктові та овочеві соки</t>
  </si>
  <si>
    <t xml:space="preserve">Фруктові та овочеві соки </t>
  </si>
  <si>
    <t>Фізіотерапевтичні апарати:Апарат ударно-хвильової терапії</t>
  </si>
  <si>
    <t>Фізіотерапевтичні апарати:Фізіотерапевтичний комплекс лазерної та магнітної терапії</t>
  </si>
  <si>
    <t>Філе куряче заморожене, Яловичина заморожена без кістки  ДК 021:2015 – 15110000-2  М’ясо</t>
  </si>
  <si>
    <t>Філе куряче морожене.</t>
  </si>
  <si>
    <t>Філе куряче охолоджене</t>
  </si>
  <si>
    <t>Філе риби ХЕК свіжоморожене</t>
  </si>
  <si>
    <t>Фільтри для автомобілів (Мercedes, Volkswagen, Iveco, Citroen, Mazda, Suzuki)</t>
  </si>
  <si>
    <t>Філія "Стрийський вагоноремонтний завод" АТ "Укрзалізниця"</t>
  </si>
  <si>
    <t>Філія "Центр сервісного забезпечення" Публічного акціонерного товариства "Українська залізниця"</t>
  </si>
  <si>
    <t>ХМЕЛЬНИЦЬКА ДИРЕКЦІЯ АКЦІОНЕРНОГО ТОВАРИСТВА "УКРПОШТА"</t>
  </si>
  <si>
    <t>ХМЕЛЬНИЦЬКИЙ ЗАКЛАД ДОШКІЛЬНОЇ ОСВІТИ № 23 "ВОГНИК" ХМЕЛЬНИЦЬКОЇ МІСЬКОЇ РАДИ ХМЕЛЬНИЦЬКОЇ ОБЛАСТІ</t>
  </si>
  <si>
    <t xml:space="preserve">Халат медичний захисний;Комбінезон медичний; Бахіли одноразового використання  (з поліетилену); Маска киснева (для дорослих, з конектором типу «Venturi»); Трубка ендотрахеальна (з манжетою та портом кисню) розмір 7,0;7,5;8,0; Силіконова маска СРАР
Трубка ендотрахеальна (з манжетою) розмір 5,0; 5,5; 6,0; 6,5; 7,0; 7,5; Голка для спінальної анестезії (тип вістря «Квінке»); розмір 22G x 3 ½ (0,7мм x 88мм); 25G x 3 (0,5мм x 75мм); Контур дихальний одноразового використання для анестезії, для дорослих
Шапочка медична; Канюля внутрішньовенна одноразового використання, з крильцями та  ін’єкційним клапаном, розмір 18G;20G
Бинт марлевий медичний нестерильний 5м х 10см, тип 17; 7м х 14см, тип 17; Відріз марлевий медичний нестерильний 5м х 90см, тип 17; Бинт гіпсовий 15х270 см; Рукавички оглядові латексні "MEDICARE" (нестерильні, не текстуровані, з пудрою) розмір S
"Рукавички медичні нітрилові оглядові нестерильні неприпудрені торгової марки IGAR Розмір S,М"; Рукавички оглядові латексні «MEDICARE» (нестерильні, без пудри, хлоровані, текстуровані) розмір M
</t>
  </si>
  <si>
    <t>Халат одноразовий медичний, халат ізоляційний непромокальний, шапочка медична, маска лицьова</t>
  </si>
  <si>
    <t>Харківська область</t>
  </si>
  <si>
    <t>Харківський національний медичний університет</t>
  </si>
  <si>
    <t>Харківський обласний центр зайнятості</t>
  </si>
  <si>
    <t>Херсонська обласна державна адміністрація</t>
  </si>
  <si>
    <t>Херсонська область</t>
  </si>
  <si>
    <t>Хліб житній 0,7 кг.(ДК 021:2015 15810000-9 «Хлібопродукти, свіжовипечені хлібобулочні та кондитерські вироби»)</t>
  </si>
  <si>
    <t>Хліб житній, хліб цільнозерновий, батон згідно з кодом ДК 021:2015: 15810000 - 9 « Хлібопродукти свіжовипечені, хлібобулочні та кондитерські вироби»</t>
  </si>
  <si>
    <t>Хлібобулочні вироби</t>
  </si>
  <si>
    <t>Хлібобулочні вироби, згідно ДК 021:2015:15810000-9 Хлібопродукти, свіжовипечені хлібобулочні та кондитерські вироби</t>
  </si>
  <si>
    <t>Хлібопродукти, свіжовипечені хлібобулочні та кондитерські вироби</t>
  </si>
  <si>
    <t>Хмельницька обласна рада</t>
  </si>
  <si>
    <t>Хмельницька область</t>
  </si>
  <si>
    <t xml:space="preserve">Холодильник однокамерний INTERLUX ILR-0093W, 
пилосос Samsung VC07T355MVC/UK, 
посудомийна машина BOSCH SGV2ITX14K, 
праска електрична Tefal FV2868E0, пральна машина LG F1296HDS3 за кодом ДК 021:2015 - 39710000-2 Електричні побутові прилади
</t>
  </si>
  <si>
    <t>Хімічний аналіз фільтрату Дергачівського полігону ТПВ</t>
  </si>
  <si>
    <t>Хімічні реагенти для лабораторних досліджень</t>
  </si>
  <si>
    <t>Хімічні реактиви, прекурсори</t>
  </si>
  <si>
    <t>ЦЕНТР КОМПЛЕКСНОЇ РЕАБІЛІТАЦІЇ ДЛЯ ОСІБ З ІНВАЛІДНІСТЮ СВЯТОШИНСЬКОГО РАЙОНУ МІСТА КИЄВА</t>
  </si>
  <si>
    <t>ЦЕНТР СОЦІАЛЬНОЇ ПІДТРИМКИ ДІТЕЙ "МОЯ РОДИНА"</t>
  </si>
  <si>
    <t>Центр комплексної реабілітації для дітей з інвалідністю Старокостянтинівської міської ради</t>
  </si>
  <si>
    <t>Центр медичної реабілітації та санаторного лікування “Пуща-Водиця”</t>
  </si>
  <si>
    <t>Центр фінансово-господарського та навчально-методичного забезпечення закладів освіти і культури</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</si>
  <si>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Верхньодніпровськ</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</si>
  <si>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Жовті Води</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</si>
  <si>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Кам'янське</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</si>
  <si>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Новомосковськ</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</si>
  <si>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П'ятихатки</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</si>
  <si>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сигналізації):м. Синельникове</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</si>
  <si>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сигналізації):смт Петриківка</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</si>
  <si>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сигналізації):смт Слобожанське</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</si>
  <si>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сигналізації):смт Солоне</t>
  </si>
  <si>
    <t>Централізована охорона майна на об’єкті з реагуванням наряду охорони (послуги з моніторингу сигналів тривоги, що надходять з пристроїв охоронної сигналізації):смт Софіївка</t>
  </si>
  <si>
    <t>Цукерки карамель, цукерки для хворих на цукровий діабет, халва, зефір.</t>
  </si>
  <si>
    <t>Цукор</t>
  </si>
  <si>
    <t>Цукор і супутня продукція за кодом CPV за ДК 021:2015 – 15830000-5 (Цукор)</t>
  </si>
  <si>
    <t>Частини ланцюгових пил</t>
  </si>
  <si>
    <t>Часткове технічне обслуговування ліфтів 6 штук</t>
  </si>
  <si>
    <t>Червоненський психоневрологічний інтернат</t>
  </si>
  <si>
    <t>Черкаська область</t>
  </si>
  <si>
    <t>Черкаський обласний центр зайнятості</t>
  </si>
  <si>
    <t>Чернівецька область</t>
  </si>
  <si>
    <t>Чернігівська область</t>
  </si>
  <si>
    <t>Чорноострівська селищна рада</t>
  </si>
  <si>
    <t>Шапка зимова повсякденна</t>
  </si>
  <si>
    <t>Швидкий тест для визначення антигена COVID-19, COV-S23,за ДК 021:2015: 33120000-7 Системи реєстрації медичної інформації та дослідне обладнання, код НК: 024:2019 50280 – Короновірус (SARS-COV), Антигени IVD, набір, імунохроматографічний, експрес-аналіз.</t>
  </si>
  <si>
    <t>Шини всесезонні  розмір (26/12.00-12)</t>
  </si>
  <si>
    <t>Шиноремонтні послуги, у тому числі шиномонтажні послуги та послуги з балансування коліс</t>
  </si>
  <si>
    <t>Щиток зустріч ЩВ виробу РСБН-6С</t>
  </si>
  <si>
    <t>Юнаківська сільська рада Сумського району Сумської області</t>
  </si>
  <si>
    <t>ЯМНИЦЬКИЙ ЛІЦЕЙ ЯМНИЦЬКОЇ СІЛЬСЬКОЇ РАДИ  ІВАНО-ФРАНКІВСЬКОЇ ОБЛАСТІ</t>
  </si>
  <si>
    <t>Яворівський НВК "ЗДО-ПШ" ЯМР ЛО</t>
  </si>
  <si>
    <t>Яйце куряче</t>
  </si>
  <si>
    <t>Яйце куряче код ДК 021:2015 -  03140000-4 - Продукція тваринництва та супутня продукція</t>
  </si>
  <si>
    <t>Яйця</t>
  </si>
  <si>
    <t>Яйця курячі</t>
  </si>
  <si>
    <t>Яйця курячі 1 категорії (сорту)</t>
  </si>
  <si>
    <t>Яйця курячі харчові</t>
  </si>
  <si>
    <t>Якщо ви маєте пропозицію чи побажання щодо покращення цього звіту, напишіть нам, будь ласка:</t>
  </si>
  <si>
    <t>Яловичина (крупно-кускова м’якоть І категорії заморожена), свинина (напівтуші I категорії, свіжі чи охолоджені), м'ясо свійської птиці (тушки курячі заморожені), філе куряче (заморожене)</t>
  </si>
  <si>
    <t>Ярмолинецька селищна рада</t>
  </si>
  <si>
    <t>Яхницька спеціальна школа Полтавської обласної ради</t>
  </si>
  <si>
    <t>ампула</t>
  </si>
  <si>
    <t>балон</t>
  </si>
  <si>
    <t>банани,апельсини, мандарини,яблука,капуста свіжа, огірки свіжі, помідори свіжі, цибуля, часник, буряк столовий, морква, лимон, картопля</t>
  </si>
  <si>
    <t>банка</t>
  </si>
  <si>
    <t>бензин марки А-92 (09132000-3 - Бензин), дизельне паливо (09134200-9 – Дизельне паливо)</t>
  </si>
  <si>
    <t>бензин, дизельне паливо</t>
  </si>
  <si>
    <t>буде відома у момент початку прийому пропозицій</t>
  </si>
  <si>
    <t>вершкове масло (масло солодко вершкове селянське (моноліт) 72,5%- 73,0% жирності)</t>
  </si>
  <si>
    <t xml:space="preserve">вироби медичного призначення:   лот 1  -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лот 2  - пристрій для фіксації сечоприймача,  33140000-3 Медичні матеріали (38861 пристрій для фіксації сечоприймача, що носиться);                                                             лот 3  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   лот 4 - катетери, 33140000-3 Медичні матеріали ( 34930 катетер уретральний для одноразового дренування/промивання);                                                                                  лот 5 - засоби особистої гігієни, 33140000-3 Медичні матеріали,  (37592 Абсорбент запаху/дезодорант для стоми, 10035 Клеї для поверхні шкіри):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t>
  </si>
  <si>
    <t xml:space="preserve">вироби медичного призначення:   лот 1  -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лот 2  - пристрій для фіксації сечоприймача,  33140000-3 Медичні матеріали (38861 пристрій для фіксації сечоприймача, що носиться);                                                             лот 3  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   лот 4 - катетери, 33140000-3 Медичні матеріали ( 34930 катетер уретральний для одноразового дренування/промивання);                                                                                  лот 5 - засоби особистої гігієни, 33140000-3 Медичні матеріали,  (37592 Абсорбент запаху/дезодорант для стоми, 10035 Клеї для поверхні шкіри):засоби особистої гігієни, 33140000-3 Медичні матеріали (10035 Клеї для поверхні шкіри, 37592 Абсорбент запаху/дезодорант)
</t>
  </si>
  <si>
    <t>вироби медичного призначення:   лот 1  -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лот 2  - пристрій для фіксації сечоприймача,  33140000-3 Медичні матеріали (38861 пристрій для фіксації сечоприймача, що носиться);                                                             лот 3  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   лот 4 - катетери, 33140000-3 Медичні матеріали ( 34930 катетер уретральний для одноразового дренування/промивання);                                                                                  лот 5 - засоби особистої гігієни, 33140000-3 Медичні матеріали,  (37592 Абсорбент запаху/дезодорант для стоми, 10035 Клеї для поверхні шкіри):калоприймачі,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t>
  </si>
  <si>
    <t>вироби медичного призначення:   лот 1  -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лот 2  - пристрій для фіксації сечоприймача,  33140000-3 Медичні матеріали (38861 пристрій для фіксації сечоприймача, що носиться);                                                             лот 3  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   лот 4 - катетери, 33140000-3 Медичні матеріали ( 34930 катетер уретральний для одноразового дренування/промивання);                                                                                  лот 5 - засоби особистої гігієни, 33140000-3 Медичні матеріали,  (37592 Абсорбент запаху/дезодорант для стоми, 10035 Клеї для поверхні шкіри):катетери, 33140000-3 Медичні матеріали ( 34930 катетер уретральний для одноразового дренування/промивання)</t>
  </si>
  <si>
    <t xml:space="preserve">вироби медичного призначення:   лот 1  - сечоприймачі,  33140000-3 Медичні матеріали (58922 сечоприймач із зливним краном без  кріплення до пацієнта, нестерильний, 58924 сечоприймач переносний ножний із зливним краном, нестерильний);
лот 2  - пристрій для фіксації сечоприймача,  33140000-3 Медичні матеріали (38861 пристрій для фіксації сечоприймача, що носиться);                                                             лот 3  калоприймачі, 33140000-3 Медичні матеріали (31075 Калоприймач для кишкової стоми відкритого типу, однокомпонентний; 31076  Калоприймач для кишкової стоми відкритого типу, багатокомпонентний);   лот 4 - катетери, 33140000-3 Медичні матеріали ( 34930 катетер уретральний для одноразового дренування/промивання);                                                                                  лот 5 - засоби особистої гігієни, 33140000-3 Медичні матеріали,  (37592 Абсорбент запаху/дезодорант для стоми, 10035 Клеї для поверхні шкіри):пристрій для фіксації сечоприймача,  33140000-3 Медичні матеріали (38861 пристрій для фіксації сечоприймача, що носиться)
</t>
  </si>
  <si>
    <t>витратні матеріали для проведення гемодіалізу/гемодіафільтрації</t>
  </si>
  <si>
    <t>відділ освіти Ічнянської міської ради Чернігівської області</t>
  </si>
  <si>
    <t>відділ освіти виконавчого комітету Бердянської міської ради</t>
  </si>
  <si>
    <t>військова частина А 2641</t>
  </si>
  <si>
    <t>військова частина А1915</t>
  </si>
  <si>
    <t>газ скраплений (пропан-бутан) смарт-картки)</t>
  </si>
  <si>
    <t>година</t>
  </si>
  <si>
    <t>грам</t>
  </si>
  <si>
    <t>гігакалорія</t>
  </si>
  <si>
    <t>електрична енергія</t>
  </si>
  <si>
    <t>з/б конструкції за відповідним кодом ЄЗС: ДК 021:2015: 44212320-8 – Конструкції  різні (ДК 021:2015: 44210000-5 – Конструкції та їх частини)</t>
  </si>
  <si>
    <t>кВт</t>
  </si>
  <si>
    <t>кВт*год</t>
  </si>
  <si>
    <t>кВт⋅год</t>
  </si>
  <si>
    <t>капсула</t>
  </si>
  <si>
    <t>капітальний ремонт мереж центрального опалення житлового будинку (в межах підтримки переходу до ОСББ) (м. Маріуполь, вул. 9 Травня, 17), (код ДК 021:2015 – 45453000-7 Капітальний ремонт і реставрація)</t>
  </si>
  <si>
    <t>кг</t>
  </si>
  <si>
    <t>кефір від 2,5% фасований, ряжанка від 4% фасована; сметана від 20% фасована</t>
  </si>
  <si>
    <t>км</t>
  </si>
  <si>
    <t>код  ДК 021: 2015 - 03220000-9  - Овочі, фрукти та горіхи (Персик, яблука, банани, помідори, мандарини, апельсини, сливи, огірки свіжі, груші, капуста, морква, буряк, цибуля, цибуля зелена, зелень, часник, гарбуз, перець болгарський)</t>
  </si>
  <si>
    <t>код  ДК 021: 2015 - 03220000-9  - Овочі, фрукти та горіхи горіхи (КАПУСТА БІЛОКАЧАНА, ЦИБУЛЯ, МОРКВА, БУРЯК, ЯБЛУКА, ВИШНЯ, МАЛИНА, ПОЛУНИЦЯ, СЛИВА, АЛИЧА, ГРУША, АБРИКОС, ОГІРКИ СВІЖІ, ПОМІДОРИ СВІЖІ, КАБАЧКИ СВІЖІ, ПЕРЕЦЬ БОЛГАРСЬКИЙ)</t>
  </si>
  <si>
    <t>код 021:2015-09310000-5 Електрична енергія</t>
  </si>
  <si>
    <t>код ДК 021:2015 - 03220000-9 (Овочі, фрукти та горіхи) (банани, апельсини, мандарини)</t>
  </si>
  <si>
    <t>код ДК 021:2015: 15110000-2 М’ясо (філе куряче охолоджене, стегно куряче охолоджене, яловичина, свинина)</t>
  </si>
  <si>
    <t>код за ДК 021:2015 – 0912 (09120000-6) Газове паливо (пропан-бутан скраплений у балонах (09122000-0)</t>
  </si>
  <si>
    <t>код за ДК 021:2015:09130000-9 - Нафта і дистиляти(Бензин А-92, Дизельне паливо)</t>
  </si>
  <si>
    <t>код за ДК «Єдиний закупівельний словник» 021:2015 - 90510000-5 - Утилізація/видалення сміття та поводження зі сміттям (послуг з поводження з побутовими відходами)</t>
  </si>
  <si>
    <t>код національного класифікатора України ДК 021:2015 “Єдиний закупівельний словник”  42130000-9 Арматура трубопровідна, крани, вентилі, клапани та подібні пристрої:код національного класифікатора України ДК 021:2015 “Єдиний закупівельний словник”  42130000-9 Арматура трубопровідна, крани, вентилі, клапани та подібні пристрої</t>
  </si>
  <si>
    <t>код національного класифікатора України ДК 021:2015 “Єдиний закупівельний словник”  44130000-0 Каналізаційні системи:код національного класифікатора України ДК 021:2015 “Єдиний закупівельний словник”  44130000-0 Каналізаційні системи</t>
  </si>
  <si>
    <t>комплект</t>
  </si>
  <si>
    <t>комплекти</t>
  </si>
  <si>
    <t>комунальне некомерційне підприємство "Могилів-Подільська окружна лікарня інтенсивного лікування" Могилів-Подільської міської ради</t>
  </si>
  <si>
    <t>консерва рибна в олії; консервна рибна в томаті; шпроти в олії</t>
  </si>
  <si>
    <t>консерви рибні «Сардина» з додавленням олії, консерви рибні «Скумбрія» з додавленням олії</t>
  </si>
  <si>
    <t>кілограм</t>
  </si>
  <si>
    <t>кілограми</t>
  </si>
  <si>
    <t>кілька позицій</t>
  </si>
  <si>
    <t>л</t>
  </si>
  <si>
    <t>лампи світлодіодні-31510000-4 Електричні лампи розжарення ДК 021:2015</t>
  </si>
  <si>
    <t>лот</t>
  </si>
  <si>
    <t>людей</t>
  </si>
  <si>
    <t>літр</t>
  </si>
  <si>
    <t>м</t>
  </si>
  <si>
    <t>м'ясо яловичини корейка охолоджена, м’ясні блоки заморожені (яловичина), печінка яловича заморожена, печінка яловича охолоджена</t>
  </si>
  <si>
    <t>м. Київ</t>
  </si>
  <si>
    <t>м.кв</t>
  </si>
  <si>
    <t>м.куб</t>
  </si>
  <si>
    <t>м³</t>
  </si>
  <si>
    <t>магістралі, трубопроводи, труби, обсадні труби, тюбінги та супутні вироби:магістралі, трубопроводи, труби, обсадні труби, тюбінги та супутні вироби</t>
  </si>
  <si>
    <t>маркер текстовий, код ДК 021:2015 – 30192125-3; скоба для степлера, код ДК 021:2015 – 30197110-0; скріпка канцелярська, код ДК 021:2015 – 30197220-4; стрічка коригуюча, код ДК 021:2015 – 301929900-0; тека - реєстратор код ДК 021:2015 – 30197210-1;  папір для друку, код ДК 021:2015 – 30197630-1</t>
  </si>
  <si>
    <t>масло вершкове вагове ДСТУ жирність від 72,5%</t>
  </si>
  <si>
    <t>медичні матеріали</t>
  </si>
  <si>
    <t>метри</t>
  </si>
  <si>
    <t>метри квадратні</t>
  </si>
  <si>
    <t>метри кубічні</t>
  </si>
  <si>
    <t>місяць</t>
  </si>
  <si>
    <t>набір</t>
  </si>
  <si>
    <t>найменувань</t>
  </si>
  <si>
    <t>нафта і дистиляти (бензин А-92, газойлі (дизельне паливо)</t>
  </si>
  <si>
    <t>нерегулярні пасажирські  перевезення  за  маршрутом Кобеляки-Куст-кущі-Червоні   Квіти-Чорбівка-Кобеляки</t>
  </si>
  <si>
    <t>овочі та фрукти свіжі:Овочі свіжі</t>
  </si>
  <si>
    <t>овочі та фрукти свіжі:Фрукти свіжі</t>
  </si>
  <si>
    <t>од</t>
  </si>
  <si>
    <t>одиниця</t>
  </si>
  <si>
    <t>очікує підпису</t>
  </si>
  <si>
    <t>паков</t>
  </si>
  <si>
    <t>пар</t>
  </si>
  <si>
    <t>пач</t>
  </si>
  <si>
    <t>пачка</t>
  </si>
  <si>
    <t>пачок</t>
  </si>
  <si>
    <t>період уточнень</t>
  </si>
  <si>
    <t>порцій</t>
  </si>
  <si>
    <t>посл</t>
  </si>
  <si>
    <t>послуга</t>
  </si>
  <si>
    <t>послуга з проведення медичних оглядів працівників</t>
  </si>
  <si>
    <t>послуги  з обслуговування систем протипожежного захисту</t>
  </si>
  <si>
    <t xml:space="preserve">послуги з організації харчування </t>
  </si>
  <si>
    <t>послуги організації харчування дітей з інвалідністю</t>
  </si>
  <si>
    <t>послуги повязані з системами та підтримкою</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</si>
  <si>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№1 – Tigecycline</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</si>
  <si>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№10 – Erythropoietin;</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</si>
  <si>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№11 – Erythropoietin</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</si>
  <si>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№2 – Ertapenem</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</si>
  <si>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№3 - Voriconazole</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</si>
  <si>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№4 - Voriconazole</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</si>
  <si>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№5 - Fluconazole</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</si>
  <si>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№6 - Aciclovir</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</si>
  <si>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№7 – Aciclovir</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</si>
  <si>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№8 – Ganciclovir</t>
  </si>
  <si>
    <t>препарати лікарські– 11 лотів: Лот №1 – Tigecycline; Лот №2 – Ertapenem; Лот №3 - Voriconazole; Лот №4 - Voriconazole;  Лот №5 - Fluconazole; Лот №6 - Aciclovir; Лот №7 – Aciclovir; Лот №8 – Ganciclovir; Лот №9 – Lenograstim; Лот №10 – Erythropoietin; Лот №11 – Erythropoietin:Лот №9 – Lenograstim</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</si>
  <si>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 – Eltrombopag</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</si>
  <si>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№10 – Hydrocortisone</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</si>
  <si>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№11 – Methylprednisolone</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</si>
  <si>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№12 – Methylprednisolone</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</si>
  <si>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№13 – Prednisolone</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</si>
  <si>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№14 - Ursodeoxycholic acid</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</si>
  <si>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№2 – Eltrombopag</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</si>
  <si>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№3 - Aprepitant</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</si>
  <si>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№4 - Ondansetron</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</si>
  <si>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№5 - Ondansetron</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</si>
  <si>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№6 - Albumin</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</si>
  <si>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№7 – Comb drug</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</si>
  <si>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№8 – Comb drug</t>
  </si>
  <si>
    <t>препарати лікарські– 14 лотів: Лот №1 – Eltrombopag; Лот №2 – Eltrombopag; Лот №3 - Aprepitant; Лот №4 - Ondansetron;  Лот №5 - Ondansetron; Лот №6 - Albumin; Лот №7 – Comb drug; Лот №8 – Comb drug; Лот №9 – Comb drug; Лот №10 – Hydrocortisone; Лот №11 – Methylprednisolone; Лот №12 – Methylprednisolone; Лот №13 – Prednisolone; Лот №14 - Ursodeoxycholic acid:Лот №9 – Comb drug</t>
  </si>
  <si>
    <t>прийом пропозицій</t>
  </si>
  <si>
    <t>продукція для чищення</t>
  </si>
  <si>
    <t>пункт</t>
  </si>
  <si>
    <t>рентгенівська плівка</t>
  </si>
  <si>
    <t>роб</t>
  </si>
  <si>
    <t>роботи</t>
  </si>
  <si>
    <t xml:space="preserve">санітарно-мікробіологічні дослідження зразків з водопровідних споруд Експлуатаційного цеху водопостачання Західного групового водопроводу </t>
  </si>
  <si>
    <t>секунда</t>
  </si>
  <si>
    <t>сирні продукти</t>
  </si>
  <si>
    <t>сталеві вироби</t>
  </si>
  <si>
    <t>т</t>
  </si>
  <si>
    <t>таблетка</t>
  </si>
  <si>
    <t>тонни</t>
  </si>
  <si>
    <t>упак</t>
  </si>
  <si>
    <t>упаковка</t>
  </si>
  <si>
    <t>управління освіти Конотопської міської ради Сумської області</t>
  </si>
  <si>
    <t>хвилина</t>
  </si>
  <si>
    <t>хліб</t>
  </si>
  <si>
    <t>шт</t>
  </si>
  <si>
    <t>штук</t>
  </si>
  <si>
    <t>штуки</t>
  </si>
  <si>
    <t>яйця</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</si>
</sst>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yy"/>
    <numFmt numFmtId="166" formatCode="dd\.mm\.yyyy\ hh:mm"/>
  </numFmts>
  <fonts count="4" x14ac:knownFonts="1">
    <font>
      <sz val="11"/>
      <color theme="1"/>
      <name val="Calibri"/>
      <family val="2"/>
      <scheme val="minor"/>
    </font>
    <font>
      <sz val="10"/>
      <color rgb="FF000000"/>
      <name val="Calibri"/>
      <family val="2"/>
    </font>
    <font>
      <sz val="10"/>
      <color rgb="FF0000FF"/>
      <name val="Calibri"/>
      <family val="2"/>
    </font>
    <font>
      <b/>
      <sz val="10"/>
      <color rgb="FFFFFFFF"/>
      <name val="Calibri"/>
      <family val="2"/>
    </font>
  </fonts>
  <fills count="3">
    <fill>
      <patternFill patternType="none"/>
    </fill>
    <fill>
      <patternFill patternType="gray125"/>
    </fill>
    <fill>
      <patternFill patternType="solid">
        <fgColor rgb="FF008000"/>
      </patternFill>
    </fill>
  </fills>
  <borders count="2">
    <border>
      <left/>
      <right/>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9">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wrapText="1"/>
    </xf>
    <xf numFmtId="1" fontId="1" fillId="0" borderId="0" xfId="0" applyNumberFormat="1" applyFont="1"/>
    <xf numFmtId="4" fontId="1" fillId="0" borderId="0" xfId="0" applyNumberFormat="1" applyFont="1"/>
    <xf numFmtId="165" fontId="1" fillId="0" borderId="0" xfId="0" applyNumberFormat="1" applyFont="1"/>
    <xf numFmtId="20" fontId="1" fillId="0" borderId="0" xfId="0" applyNumberFormat="1" applyFont="1"/>
    <xf numFmtId="166" fontId="1" fillId="0" borderId="0" xfId="0" applyNumberFormat="1" applyFo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y.zakupki.prom.ua/remote/dispatcher/state_purchase_view/34696386" TargetMode="External"/><Relationship Id="rId671" Type="http://schemas.openxmlformats.org/officeDocument/2006/relationships/hyperlink" Target="https://my.zakupki.prom.ua/remote/dispatcher/state_purchase_view/34685758" TargetMode="External"/><Relationship Id="rId769" Type="http://schemas.openxmlformats.org/officeDocument/2006/relationships/hyperlink" Target="https://my.zakupki.prom.ua/remote/dispatcher/state_purchase_view/34683877" TargetMode="External"/><Relationship Id="rId976" Type="http://schemas.openxmlformats.org/officeDocument/2006/relationships/hyperlink" Target="https://my.zakupki.prom.ua/remote/dispatcher/state_purchase_view/34679824" TargetMode="External"/><Relationship Id="rId21" Type="http://schemas.openxmlformats.org/officeDocument/2006/relationships/hyperlink" Target="https://my.zakupki.prom.ua/remote/dispatcher/state_purchase_view/34697661" TargetMode="External"/><Relationship Id="rId324" Type="http://schemas.openxmlformats.org/officeDocument/2006/relationships/hyperlink" Target="https://my.zakupki.prom.ua/remote/dispatcher/state_purchase_view/34692051" TargetMode="External"/><Relationship Id="rId531" Type="http://schemas.openxmlformats.org/officeDocument/2006/relationships/hyperlink" Target="https://my.zakupki.prom.ua/remote/dispatcher/state_purchase_view/34688255" TargetMode="External"/><Relationship Id="rId629" Type="http://schemas.openxmlformats.org/officeDocument/2006/relationships/hyperlink" Target="https://my.zakupki.prom.ua/remote/dispatcher/state_purchase_view/34686561" TargetMode="External"/><Relationship Id="rId170" Type="http://schemas.openxmlformats.org/officeDocument/2006/relationships/hyperlink" Target="https://my.zakupki.prom.ua/remote/dispatcher/state_purchase_view/34695501" TargetMode="External"/><Relationship Id="rId836" Type="http://schemas.openxmlformats.org/officeDocument/2006/relationships/hyperlink" Target="https://my.zakupki.prom.ua/remote/dispatcher/state_purchase_view/34682364" TargetMode="External"/><Relationship Id="rId1021" Type="http://schemas.openxmlformats.org/officeDocument/2006/relationships/hyperlink" Target="https://my.zakupki.prom.ua/remote/dispatcher/state_purchase_lot_view/740623" TargetMode="External"/><Relationship Id="rId1119" Type="http://schemas.openxmlformats.org/officeDocument/2006/relationships/hyperlink" Target="https://my.zakupki.prom.ua/remote/dispatcher/state_purchase_view/34678443" TargetMode="External"/><Relationship Id="rId268" Type="http://schemas.openxmlformats.org/officeDocument/2006/relationships/hyperlink" Target="https://my.zakupki.prom.ua/remote/dispatcher/state_purchase_view/34693390" TargetMode="External"/><Relationship Id="rId475" Type="http://schemas.openxmlformats.org/officeDocument/2006/relationships/hyperlink" Target="https://my.zakupki.prom.ua/remote/dispatcher/state_purchase_view/34688974" TargetMode="External"/><Relationship Id="rId682" Type="http://schemas.openxmlformats.org/officeDocument/2006/relationships/hyperlink" Target="https://my.zakupki.prom.ua/remote/dispatcher/state_purchase_view/34685634" TargetMode="External"/><Relationship Id="rId903" Type="http://schemas.openxmlformats.org/officeDocument/2006/relationships/hyperlink" Target="https://my.zakupki.prom.ua/remote/dispatcher/state_purchase_view/34681259" TargetMode="External"/><Relationship Id="rId32" Type="http://schemas.openxmlformats.org/officeDocument/2006/relationships/hyperlink" Target="https://my.zakupki.prom.ua/remote/dispatcher/state_purchase_view/34693843" TargetMode="External"/><Relationship Id="rId128" Type="http://schemas.openxmlformats.org/officeDocument/2006/relationships/hyperlink" Target="https://my.zakupki.prom.ua/remote/dispatcher/state_purchase_view/34696165" TargetMode="External"/><Relationship Id="rId335" Type="http://schemas.openxmlformats.org/officeDocument/2006/relationships/hyperlink" Target="https://my.zakupki.prom.ua/remote/dispatcher/state_purchase_view/34691771" TargetMode="External"/><Relationship Id="rId542" Type="http://schemas.openxmlformats.org/officeDocument/2006/relationships/hyperlink" Target="https://my.zakupki.prom.ua/remote/dispatcher/state_purchase_view/34688163" TargetMode="External"/><Relationship Id="rId987" Type="http://schemas.openxmlformats.org/officeDocument/2006/relationships/hyperlink" Target="https://my.zakupki.prom.ua/remote/dispatcher/state_purchase_view/34679744" TargetMode="External"/><Relationship Id="rId181" Type="http://schemas.openxmlformats.org/officeDocument/2006/relationships/hyperlink" Target="https://my.zakupki.prom.ua/remote/dispatcher/state_purchase_view/34695335" TargetMode="External"/><Relationship Id="rId402" Type="http://schemas.openxmlformats.org/officeDocument/2006/relationships/hyperlink" Target="https://my.zakupki.prom.ua/remote/dispatcher/state_purchase_view/34690255" TargetMode="External"/><Relationship Id="rId847" Type="http://schemas.openxmlformats.org/officeDocument/2006/relationships/hyperlink" Target="https://my.zakupki.prom.ua/remote/dispatcher/state_purchase_view/34682228" TargetMode="External"/><Relationship Id="rId1032" Type="http://schemas.openxmlformats.org/officeDocument/2006/relationships/hyperlink" Target="https://my.zakupki.prom.ua/remote/dispatcher/state_purchase_view/34615780" TargetMode="External"/><Relationship Id="rId279" Type="http://schemas.openxmlformats.org/officeDocument/2006/relationships/hyperlink" Target="https://my.zakupki.prom.ua/remote/dispatcher/state_purchase_view/34692622" TargetMode="External"/><Relationship Id="rId486" Type="http://schemas.openxmlformats.org/officeDocument/2006/relationships/hyperlink" Target="https://my.zakupki.prom.ua/remote/dispatcher/state_purchase_view/34688741" TargetMode="External"/><Relationship Id="rId693" Type="http://schemas.openxmlformats.org/officeDocument/2006/relationships/hyperlink" Target="https://my.zakupki.prom.ua/remote/dispatcher/state_purchase_view/34685259" TargetMode="External"/><Relationship Id="rId707" Type="http://schemas.openxmlformats.org/officeDocument/2006/relationships/hyperlink" Target="https://my.zakupki.prom.ua/remote/dispatcher/state_purchase_view/34685108" TargetMode="External"/><Relationship Id="rId914" Type="http://schemas.openxmlformats.org/officeDocument/2006/relationships/hyperlink" Target="https://my.zakupki.prom.ua/remote/dispatcher/state_purchase_view/34681027" TargetMode="External"/><Relationship Id="rId43" Type="http://schemas.openxmlformats.org/officeDocument/2006/relationships/hyperlink" Target="https://my.zakupki.prom.ua/remote/dispatcher/state_purchase_lot_view/740812" TargetMode="External"/><Relationship Id="rId139" Type="http://schemas.openxmlformats.org/officeDocument/2006/relationships/hyperlink" Target="https://my.zakupki.prom.ua/remote/dispatcher/state_purchase_view/34695343" TargetMode="External"/><Relationship Id="rId346" Type="http://schemas.openxmlformats.org/officeDocument/2006/relationships/hyperlink" Target="https://my.zakupki.prom.ua/remote/dispatcher/state_purchase_view/34691301" TargetMode="External"/><Relationship Id="rId553" Type="http://schemas.openxmlformats.org/officeDocument/2006/relationships/hyperlink" Target="https://my.zakupki.prom.ua/remote/dispatcher/state_purchase_lot_view/740709" TargetMode="External"/><Relationship Id="rId760" Type="http://schemas.openxmlformats.org/officeDocument/2006/relationships/hyperlink" Target="https://my.zakupki.prom.ua/remote/dispatcher/state_purchase_lot_view/740661" TargetMode="External"/><Relationship Id="rId998" Type="http://schemas.openxmlformats.org/officeDocument/2006/relationships/hyperlink" Target="https://my.zakupki.prom.ua/remote/dispatcher/state_purchase_view/34679564" TargetMode="External"/><Relationship Id="rId192" Type="http://schemas.openxmlformats.org/officeDocument/2006/relationships/hyperlink" Target="https://my.zakupki.prom.ua/remote/dispatcher/state_purchase_view/34695037" TargetMode="External"/><Relationship Id="rId206" Type="http://schemas.openxmlformats.org/officeDocument/2006/relationships/hyperlink" Target="https://my.zakupki.prom.ua/remote/dispatcher/state_purchase_view/34694623" TargetMode="External"/><Relationship Id="rId413" Type="http://schemas.openxmlformats.org/officeDocument/2006/relationships/hyperlink" Target="https://my.zakupki.prom.ua/remote/dispatcher/state_purchase_view/34690135" TargetMode="External"/><Relationship Id="rId858" Type="http://schemas.openxmlformats.org/officeDocument/2006/relationships/hyperlink" Target="https://my.zakupki.prom.ua/remote/dispatcher/state_purchase_view/34682104" TargetMode="External"/><Relationship Id="rId1043" Type="http://schemas.openxmlformats.org/officeDocument/2006/relationships/hyperlink" Target="https://my.zakupki.prom.ua/remote/dispatcher/state_purchase_lot_view/740616" TargetMode="External"/><Relationship Id="rId497" Type="http://schemas.openxmlformats.org/officeDocument/2006/relationships/hyperlink" Target="https://my.zakupki.prom.ua/remote/dispatcher/state_purchase_view/34688584" TargetMode="External"/><Relationship Id="rId620" Type="http://schemas.openxmlformats.org/officeDocument/2006/relationships/hyperlink" Target="https://my.zakupki.prom.ua/remote/dispatcher/state_purchase_view/34686856" TargetMode="External"/><Relationship Id="rId718" Type="http://schemas.openxmlformats.org/officeDocument/2006/relationships/hyperlink" Target="https://my.zakupki.prom.ua/remote/dispatcher/state_purchase_lot_view/740669" TargetMode="External"/><Relationship Id="rId925" Type="http://schemas.openxmlformats.org/officeDocument/2006/relationships/hyperlink" Target="https://my.zakupki.prom.ua/remote/dispatcher/state_purchase_view/34680890" TargetMode="External"/><Relationship Id="rId357" Type="http://schemas.openxmlformats.org/officeDocument/2006/relationships/hyperlink" Target="https://my.zakupki.prom.ua/remote/dispatcher/state_purchase_view/34691097" TargetMode="External"/><Relationship Id="rId1110" Type="http://schemas.openxmlformats.org/officeDocument/2006/relationships/hyperlink" Target="https://my.zakupki.prom.ua/remote/dispatcher/state_purchase_lot_view/740588" TargetMode="External"/><Relationship Id="rId54" Type="http://schemas.openxmlformats.org/officeDocument/2006/relationships/hyperlink" Target="https://my.zakupki.prom.ua/remote/dispatcher/state_purchase_view/34697283" TargetMode="External"/><Relationship Id="rId217" Type="http://schemas.openxmlformats.org/officeDocument/2006/relationships/hyperlink" Target="https://my.zakupki.prom.ua/remote/dispatcher/state_purchase_view/34694365" TargetMode="External"/><Relationship Id="rId564" Type="http://schemas.openxmlformats.org/officeDocument/2006/relationships/hyperlink" Target="https://my.zakupki.prom.ua/remote/dispatcher/state_purchase_view/34687803" TargetMode="External"/><Relationship Id="rId771" Type="http://schemas.openxmlformats.org/officeDocument/2006/relationships/hyperlink" Target="https://my.zakupki.prom.ua/remote/dispatcher/state_purchase_view/34683847" TargetMode="External"/><Relationship Id="rId869" Type="http://schemas.openxmlformats.org/officeDocument/2006/relationships/hyperlink" Target="https://my.zakupki.prom.ua/remote/dispatcher/state_purchase_view/34681716" TargetMode="External"/><Relationship Id="rId424" Type="http://schemas.openxmlformats.org/officeDocument/2006/relationships/hyperlink" Target="https://my.zakupki.prom.ua/remote/dispatcher/state_purchase_view/34689823" TargetMode="External"/><Relationship Id="rId631" Type="http://schemas.openxmlformats.org/officeDocument/2006/relationships/hyperlink" Target="https://my.zakupki.prom.ua/remote/dispatcher/state_purchase_view/34686503" TargetMode="External"/><Relationship Id="rId729" Type="http://schemas.openxmlformats.org/officeDocument/2006/relationships/hyperlink" Target="https://my.zakupki.prom.ua/remote/dispatcher/state_purchase_view/34684673" TargetMode="External"/><Relationship Id="rId1054" Type="http://schemas.openxmlformats.org/officeDocument/2006/relationships/hyperlink" Target="https://my.zakupki.prom.ua/remote/dispatcher/state_purchase_view/34678944" TargetMode="External"/><Relationship Id="rId270" Type="http://schemas.openxmlformats.org/officeDocument/2006/relationships/hyperlink" Target="https://my.zakupki.prom.ua/remote/dispatcher/state_purchase_view/34693366" TargetMode="External"/><Relationship Id="rId936" Type="http://schemas.openxmlformats.org/officeDocument/2006/relationships/hyperlink" Target="https://my.zakupki.prom.ua/remote/dispatcher/state_purchase_view/34680817" TargetMode="External"/><Relationship Id="rId1121" Type="http://schemas.openxmlformats.org/officeDocument/2006/relationships/hyperlink" Target="https://my.zakupki.prom.ua/remote/dispatcher/state_purchase_view/34678404" TargetMode="External"/><Relationship Id="rId65" Type="http://schemas.openxmlformats.org/officeDocument/2006/relationships/hyperlink" Target="https://my.zakupki.prom.ua/remote/dispatcher/state_purchase_lot_view/740805" TargetMode="External"/><Relationship Id="rId130" Type="http://schemas.openxmlformats.org/officeDocument/2006/relationships/hyperlink" Target="https://my.zakupki.prom.ua/remote/dispatcher/state_purchase_view/34696154" TargetMode="External"/><Relationship Id="rId368" Type="http://schemas.openxmlformats.org/officeDocument/2006/relationships/hyperlink" Target="https://my.zakupki.prom.ua/remote/dispatcher/state_purchase_view/34690875" TargetMode="External"/><Relationship Id="rId575" Type="http://schemas.openxmlformats.org/officeDocument/2006/relationships/hyperlink" Target="https://my.zakupki.prom.ua/remote/dispatcher/state_purchase_view/34687648" TargetMode="External"/><Relationship Id="rId782" Type="http://schemas.openxmlformats.org/officeDocument/2006/relationships/hyperlink" Target="https://my.zakupki.prom.ua/remote/dispatcher/state_purchase_view/34683400" TargetMode="External"/><Relationship Id="rId228" Type="http://schemas.openxmlformats.org/officeDocument/2006/relationships/hyperlink" Target="https://my.zakupki.prom.ua/remote/dispatcher/state_purchase_view/34684960" TargetMode="External"/><Relationship Id="rId435" Type="http://schemas.openxmlformats.org/officeDocument/2006/relationships/hyperlink" Target="https://my.zakupki.prom.ua/remote/dispatcher/state_purchase_view/34689639" TargetMode="External"/><Relationship Id="rId642" Type="http://schemas.openxmlformats.org/officeDocument/2006/relationships/hyperlink" Target="https://my.zakupki.prom.ua/remote/dispatcher/state_purchase_view/34686330" TargetMode="External"/><Relationship Id="rId1065" Type="http://schemas.openxmlformats.org/officeDocument/2006/relationships/hyperlink" Target="https://my.zakupki.prom.ua/remote/dispatcher/state_purchase_view/34678865" TargetMode="External"/><Relationship Id="rId281" Type="http://schemas.openxmlformats.org/officeDocument/2006/relationships/hyperlink" Target="https://my.zakupki.prom.ua/remote/dispatcher/state_purchase_view/34692965" TargetMode="External"/><Relationship Id="rId502" Type="http://schemas.openxmlformats.org/officeDocument/2006/relationships/hyperlink" Target="https://my.zakupki.prom.ua/remote/dispatcher/state_purchase_view/34688527" TargetMode="External"/><Relationship Id="rId947" Type="http://schemas.openxmlformats.org/officeDocument/2006/relationships/hyperlink" Target="https://my.zakupki.prom.ua/remote/dispatcher/state_purchase_view/34680192" TargetMode="External"/><Relationship Id="rId1132" Type="http://schemas.openxmlformats.org/officeDocument/2006/relationships/hyperlink" Target="https://my.zakupki.prom.ua/remote/dispatcher/state_purchase_lot_view/740564" TargetMode="External"/><Relationship Id="rId76" Type="http://schemas.openxmlformats.org/officeDocument/2006/relationships/hyperlink" Target="https://my.zakupki.prom.ua/remote/dispatcher/state_purchase_lot_view/740795" TargetMode="External"/><Relationship Id="rId141" Type="http://schemas.openxmlformats.org/officeDocument/2006/relationships/hyperlink" Target="https://my.zakupki.prom.ua/remote/dispatcher/state_purchase_view/34695908" TargetMode="External"/><Relationship Id="rId379" Type="http://schemas.openxmlformats.org/officeDocument/2006/relationships/hyperlink" Target="https://my.zakupki.prom.ua/remote/dispatcher/state_purchase_view/34690684" TargetMode="External"/><Relationship Id="rId586" Type="http://schemas.openxmlformats.org/officeDocument/2006/relationships/hyperlink" Target="https://my.zakupki.prom.ua/remote/dispatcher/state_purchase_view/34687313" TargetMode="External"/><Relationship Id="rId793" Type="http://schemas.openxmlformats.org/officeDocument/2006/relationships/hyperlink" Target="https://my.zakupki.prom.ua/remote/dispatcher/state_purchase_view/34683275" TargetMode="External"/><Relationship Id="rId807" Type="http://schemas.openxmlformats.org/officeDocument/2006/relationships/hyperlink" Target="https://my.zakupki.prom.ua/remote/dispatcher/state_purchase_lot_view/740655" TargetMode="External"/><Relationship Id="rId7" Type="http://schemas.openxmlformats.org/officeDocument/2006/relationships/hyperlink" Target="https://my.zakupki.prom.ua/remote/dispatcher/state_purchase_view/34697747" TargetMode="External"/><Relationship Id="rId239" Type="http://schemas.openxmlformats.org/officeDocument/2006/relationships/hyperlink" Target="https://my.zakupki.prom.ua/remote/dispatcher/state_purchase_view/34693718" TargetMode="External"/><Relationship Id="rId446" Type="http://schemas.openxmlformats.org/officeDocument/2006/relationships/hyperlink" Target="https://my.zakupki.prom.ua/remote/dispatcher/state_purchase_view/34689505" TargetMode="External"/><Relationship Id="rId653" Type="http://schemas.openxmlformats.org/officeDocument/2006/relationships/hyperlink" Target="https://my.zakupki.prom.ua/remote/dispatcher/state_purchase_view/34685923" TargetMode="External"/><Relationship Id="rId1076" Type="http://schemas.openxmlformats.org/officeDocument/2006/relationships/hyperlink" Target="https://my.zakupki.prom.ua/remote/dispatcher/state_purchase_lot_view/740592" TargetMode="External"/><Relationship Id="rId292" Type="http://schemas.openxmlformats.org/officeDocument/2006/relationships/hyperlink" Target="https://my.zakupki.prom.ua/remote/dispatcher/state_purchase_view/34692800" TargetMode="External"/><Relationship Id="rId306" Type="http://schemas.openxmlformats.org/officeDocument/2006/relationships/hyperlink" Target="https://my.zakupki.prom.ua/remote/dispatcher/state_purchase_view/34692528" TargetMode="External"/><Relationship Id="rId860" Type="http://schemas.openxmlformats.org/officeDocument/2006/relationships/hyperlink" Target="https://my.zakupki.prom.ua/remote/dispatcher/state_purchase_view/34679927" TargetMode="External"/><Relationship Id="rId958" Type="http://schemas.openxmlformats.org/officeDocument/2006/relationships/hyperlink" Target="https://my.zakupki.prom.ua/remote/dispatcher/state_purchase_view/34679928" TargetMode="External"/><Relationship Id="rId87" Type="http://schemas.openxmlformats.org/officeDocument/2006/relationships/hyperlink" Target="https://my.zakupki.prom.ua/remote/dispatcher/state_purchase_view/34697109" TargetMode="External"/><Relationship Id="rId513" Type="http://schemas.openxmlformats.org/officeDocument/2006/relationships/hyperlink" Target="https://my.zakupki.prom.ua/remote/dispatcher/state_purchase_view/34688414" TargetMode="External"/><Relationship Id="rId597" Type="http://schemas.openxmlformats.org/officeDocument/2006/relationships/hyperlink" Target="https://my.zakupki.prom.ua/remote/dispatcher/state_purchase_lot_view/740699" TargetMode="External"/><Relationship Id="rId720" Type="http://schemas.openxmlformats.org/officeDocument/2006/relationships/hyperlink" Target="https://my.zakupki.prom.ua/remote/dispatcher/state_purchase_view/34684893" TargetMode="External"/><Relationship Id="rId818" Type="http://schemas.openxmlformats.org/officeDocument/2006/relationships/hyperlink" Target="https://my.zakupki.prom.ua/remote/dispatcher/state_purchase_view/34682874" TargetMode="External"/><Relationship Id="rId152" Type="http://schemas.openxmlformats.org/officeDocument/2006/relationships/hyperlink" Target="https://my.zakupki.prom.ua/remote/dispatcher/state_purchase_view/34695724" TargetMode="External"/><Relationship Id="rId457" Type="http://schemas.openxmlformats.org/officeDocument/2006/relationships/hyperlink" Target="https://my.zakupki.prom.ua/remote/dispatcher/state_purchase_view/34689153" TargetMode="External"/><Relationship Id="rId1003" Type="http://schemas.openxmlformats.org/officeDocument/2006/relationships/hyperlink" Target="https://my.zakupki.prom.ua/remote/dispatcher/state_purchase_view/34679478" TargetMode="External"/><Relationship Id="rId1087" Type="http://schemas.openxmlformats.org/officeDocument/2006/relationships/hyperlink" Target="https://my.zakupki.prom.ua/remote/dispatcher/state_purchase_lot_view/740603" TargetMode="External"/><Relationship Id="rId664" Type="http://schemas.openxmlformats.org/officeDocument/2006/relationships/hyperlink" Target="https://my.zakupki.prom.ua/remote/dispatcher/state_purchase_lot_view/740681" TargetMode="External"/><Relationship Id="rId871" Type="http://schemas.openxmlformats.org/officeDocument/2006/relationships/hyperlink" Target="https://my.zakupki.prom.ua/remote/dispatcher/state_purchase_view/34681661" TargetMode="External"/><Relationship Id="rId969" Type="http://schemas.openxmlformats.org/officeDocument/2006/relationships/hyperlink" Target="https://my.zakupki.prom.ua/remote/dispatcher/state_purchase_view/34679866" TargetMode="External"/><Relationship Id="rId14" Type="http://schemas.openxmlformats.org/officeDocument/2006/relationships/hyperlink" Target="https://my.zakupki.prom.ua/remote/dispatcher/state_purchase_view/34697713" TargetMode="External"/><Relationship Id="rId317" Type="http://schemas.openxmlformats.org/officeDocument/2006/relationships/hyperlink" Target="https://my.zakupki.prom.ua/remote/dispatcher/state_purchase_lot_view/740756" TargetMode="External"/><Relationship Id="rId524" Type="http://schemas.openxmlformats.org/officeDocument/2006/relationships/hyperlink" Target="https://my.zakupki.prom.ua/remote/dispatcher/state_purchase_view/34688281" TargetMode="External"/><Relationship Id="rId731" Type="http://schemas.openxmlformats.org/officeDocument/2006/relationships/hyperlink" Target="https://my.zakupki.prom.ua/remote/dispatcher/state_purchase_view/34684653" TargetMode="External"/><Relationship Id="rId98" Type="http://schemas.openxmlformats.org/officeDocument/2006/relationships/hyperlink" Target="https://my.zakupki.prom.ua/remote/dispatcher/state_purchase_view/34696519" TargetMode="External"/><Relationship Id="rId163" Type="http://schemas.openxmlformats.org/officeDocument/2006/relationships/hyperlink" Target="https://my.zakupki.prom.ua/remote/dispatcher/state_purchase_lot_view/740784" TargetMode="External"/><Relationship Id="rId370" Type="http://schemas.openxmlformats.org/officeDocument/2006/relationships/hyperlink" Target="https://my.zakupki.prom.ua/remote/dispatcher/state_purchase_view/34690845" TargetMode="External"/><Relationship Id="rId829" Type="http://schemas.openxmlformats.org/officeDocument/2006/relationships/hyperlink" Target="https://my.zakupki.prom.ua/remote/dispatcher/state_purchase_view/34682643" TargetMode="External"/><Relationship Id="rId1014" Type="http://schemas.openxmlformats.org/officeDocument/2006/relationships/hyperlink" Target="https://my.zakupki.prom.ua/remote/dispatcher/state_purchase_view/34679390" TargetMode="External"/><Relationship Id="rId230" Type="http://schemas.openxmlformats.org/officeDocument/2006/relationships/hyperlink" Target="https://my.zakupki.prom.ua/remote/dispatcher/state_purchase_view/34694181" TargetMode="External"/><Relationship Id="rId468" Type="http://schemas.openxmlformats.org/officeDocument/2006/relationships/hyperlink" Target="https://my.zakupki.prom.ua/remote/dispatcher/state_purchase_view/34689071" TargetMode="External"/><Relationship Id="rId675" Type="http://schemas.openxmlformats.org/officeDocument/2006/relationships/hyperlink" Target="https://my.zakupki.prom.ua/remote/dispatcher/state_purchase_view/34685708" TargetMode="External"/><Relationship Id="rId882" Type="http://schemas.openxmlformats.org/officeDocument/2006/relationships/hyperlink" Target="https://my.zakupki.prom.ua/remote/dispatcher/state_purchase_view/34681381" TargetMode="External"/><Relationship Id="rId1098" Type="http://schemas.openxmlformats.org/officeDocument/2006/relationships/hyperlink" Target="https://my.zakupki.prom.ua/remote/dispatcher/state_purchase_lot_view/740576" TargetMode="External"/><Relationship Id="rId25" Type="http://schemas.openxmlformats.org/officeDocument/2006/relationships/hyperlink" Target="https://my.zakupki.prom.ua/remote/dispatcher/state_purchase_view/34697636" TargetMode="External"/><Relationship Id="rId328" Type="http://schemas.openxmlformats.org/officeDocument/2006/relationships/hyperlink" Target="https://my.zakupki.prom.ua/remote/dispatcher/state_purchase_view/34691925" TargetMode="External"/><Relationship Id="rId535" Type="http://schemas.openxmlformats.org/officeDocument/2006/relationships/hyperlink" Target="https://my.zakupki.prom.ua/remote/dispatcher/state_purchase_lot_view/740719" TargetMode="External"/><Relationship Id="rId742" Type="http://schemas.openxmlformats.org/officeDocument/2006/relationships/hyperlink" Target="https://my.zakupki.prom.ua/remote/dispatcher/state_purchase_view/34684269" TargetMode="External"/><Relationship Id="rId174" Type="http://schemas.openxmlformats.org/officeDocument/2006/relationships/hyperlink" Target="https://my.zakupki.prom.ua/remote/dispatcher/state_purchase_view/34695456" TargetMode="External"/><Relationship Id="rId381" Type="http://schemas.openxmlformats.org/officeDocument/2006/relationships/hyperlink" Target="https://my.zakupki.prom.ua/remote/dispatcher/state_purchase_view/34690551" TargetMode="External"/><Relationship Id="rId602" Type="http://schemas.openxmlformats.org/officeDocument/2006/relationships/hyperlink" Target="https://my.zakupki.prom.ua/remote/dispatcher/state_purchase_lot_view/740704" TargetMode="External"/><Relationship Id="rId1025" Type="http://schemas.openxmlformats.org/officeDocument/2006/relationships/hyperlink" Target="https://my.zakupki.prom.ua/remote/dispatcher/state_purchase_lot_view/740618" TargetMode="External"/><Relationship Id="rId241" Type="http://schemas.openxmlformats.org/officeDocument/2006/relationships/hyperlink" Target="https://my.zakupki.prom.ua/remote/dispatcher/state_purchase_view/34693689" TargetMode="External"/><Relationship Id="rId479" Type="http://schemas.openxmlformats.org/officeDocument/2006/relationships/hyperlink" Target="https://my.zakupki.prom.ua/remote/dispatcher/state_purchase_view/34688870" TargetMode="External"/><Relationship Id="rId686" Type="http://schemas.openxmlformats.org/officeDocument/2006/relationships/hyperlink" Target="https://my.zakupki.prom.ua/remote/dispatcher/state_purchase_view/34685626" TargetMode="External"/><Relationship Id="rId893" Type="http://schemas.openxmlformats.org/officeDocument/2006/relationships/hyperlink" Target="https://my.zakupki.prom.ua/remote/dispatcher/state_purchase_view/34681286" TargetMode="External"/><Relationship Id="rId907" Type="http://schemas.openxmlformats.org/officeDocument/2006/relationships/hyperlink" Target="https://my.zakupki.prom.ua/remote/dispatcher/state_purchase_lot_view/740631" TargetMode="External"/><Relationship Id="rId36" Type="http://schemas.openxmlformats.org/officeDocument/2006/relationships/hyperlink" Target="https://my.zakupki.prom.ua/remote/dispatcher/state_purchase_view/34697365" TargetMode="External"/><Relationship Id="rId339" Type="http://schemas.openxmlformats.org/officeDocument/2006/relationships/hyperlink" Target="https://my.zakupki.prom.ua/remote/dispatcher/state_purchase_view/34691698" TargetMode="External"/><Relationship Id="rId546" Type="http://schemas.openxmlformats.org/officeDocument/2006/relationships/hyperlink" Target="https://my.zakupki.prom.ua/remote/dispatcher/state_purchase_lot_view/740691" TargetMode="External"/><Relationship Id="rId753" Type="http://schemas.openxmlformats.org/officeDocument/2006/relationships/hyperlink" Target="https://my.zakupki.prom.ua/remote/dispatcher/state_purchase_view/34684120" TargetMode="External"/><Relationship Id="rId101" Type="http://schemas.openxmlformats.org/officeDocument/2006/relationships/hyperlink" Target="https://my.zakupki.prom.ua/remote/dispatcher/state_purchase_view/34696506" TargetMode="External"/><Relationship Id="rId185" Type="http://schemas.openxmlformats.org/officeDocument/2006/relationships/hyperlink" Target="https://my.zakupki.prom.ua/remote/dispatcher/state_purchase_view/34695112" TargetMode="External"/><Relationship Id="rId406" Type="http://schemas.openxmlformats.org/officeDocument/2006/relationships/hyperlink" Target="https://my.zakupki.prom.ua/remote/dispatcher/state_purchase_lot_view/740744" TargetMode="External"/><Relationship Id="rId960" Type="http://schemas.openxmlformats.org/officeDocument/2006/relationships/hyperlink" Target="https://my.zakupki.prom.ua/remote/dispatcher/state_purchase_view/34679913" TargetMode="External"/><Relationship Id="rId1036" Type="http://schemas.openxmlformats.org/officeDocument/2006/relationships/hyperlink" Target="https://my.zakupki.prom.ua/remote/dispatcher/state_purchase_view/34679054" TargetMode="External"/><Relationship Id="rId392" Type="http://schemas.openxmlformats.org/officeDocument/2006/relationships/hyperlink" Target="https://my.zakupki.prom.ua/remote/dispatcher/state_purchase_view/34690352" TargetMode="External"/><Relationship Id="rId613" Type="http://schemas.openxmlformats.org/officeDocument/2006/relationships/hyperlink" Target="https://my.zakupki.prom.ua/remote/dispatcher/state_purchase_view/34687127" TargetMode="External"/><Relationship Id="rId697" Type="http://schemas.openxmlformats.org/officeDocument/2006/relationships/hyperlink" Target="https://my.zakupki.prom.ua/remote/dispatcher/state_purchase_lot_view/740671" TargetMode="External"/><Relationship Id="rId820" Type="http://schemas.openxmlformats.org/officeDocument/2006/relationships/hyperlink" Target="https://my.zakupki.prom.ua/remote/dispatcher/state_purchase_view/34682869" TargetMode="External"/><Relationship Id="rId918" Type="http://schemas.openxmlformats.org/officeDocument/2006/relationships/hyperlink" Target="https://my.zakupki.prom.ua/remote/dispatcher/state_purchase_view/34680960" TargetMode="External"/><Relationship Id="rId252" Type="http://schemas.openxmlformats.org/officeDocument/2006/relationships/hyperlink" Target="https://my.zakupki.prom.ua/remote/dispatcher/state_purchase_view/34693578" TargetMode="External"/><Relationship Id="rId1103" Type="http://schemas.openxmlformats.org/officeDocument/2006/relationships/hyperlink" Target="https://my.zakupki.prom.ua/remote/dispatcher/state_purchase_lot_view/740581" TargetMode="External"/><Relationship Id="rId47" Type="http://schemas.openxmlformats.org/officeDocument/2006/relationships/hyperlink" Target="https://my.zakupki.prom.ua/remote/dispatcher/state_purchase_lot_view/740816" TargetMode="External"/><Relationship Id="rId112" Type="http://schemas.openxmlformats.org/officeDocument/2006/relationships/hyperlink" Target="https://my.zakupki.prom.ua/remote/dispatcher/state_purchase_view/34696422" TargetMode="External"/><Relationship Id="rId557" Type="http://schemas.openxmlformats.org/officeDocument/2006/relationships/hyperlink" Target="https://my.zakupki.prom.ua/remote/dispatcher/state_purchase_lot_view/740713" TargetMode="External"/><Relationship Id="rId764" Type="http://schemas.openxmlformats.org/officeDocument/2006/relationships/hyperlink" Target="https://my.zakupki.prom.ua/remote/dispatcher/state_purchase_view/34683973" TargetMode="External"/><Relationship Id="rId971" Type="http://schemas.openxmlformats.org/officeDocument/2006/relationships/hyperlink" Target="https://my.zakupki.prom.ua/remote/dispatcher/state_purchase_view/34679859" TargetMode="External"/><Relationship Id="rId196" Type="http://schemas.openxmlformats.org/officeDocument/2006/relationships/hyperlink" Target="https://my.zakupki.prom.ua/remote/dispatcher/state_purchase_view/34695003" TargetMode="External"/><Relationship Id="rId417" Type="http://schemas.openxmlformats.org/officeDocument/2006/relationships/hyperlink" Target="https://my.zakupki.prom.ua/remote/dispatcher/state_purchase_view/34689921" TargetMode="External"/><Relationship Id="rId624" Type="http://schemas.openxmlformats.org/officeDocument/2006/relationships/hyperlink" Target="https://my.zakupki.prom.ua/remote/dispatcher/state_purchase_view/34686704" TargetMode="External"/><Relationship Id="rId831" Type="http://schemas.openxmlformats.org/officeDocument/2006/relationships/hyperlink" Target="https://my.zakupki.prom.ua/remote/dispatcher/state_purchase_view/34682436" TargetMode="External"/><Relationship Id="rId1047" Type="http://schemas.openxmlformats.org/officeDocument/2006/relationships/hyperlink" Target="https://my.zakupki.prom.ua/remote/dispatcher/state_purchase_view/34679004" TargetMode="External"/><Relationship Id="rId263" Type="http://schemas.openxmlformats.org/officeDocument/2006/relationships/hyperlink" Target="https://my.zakupki.prom.ua/remote/dispatcher/state_purchase_view/34693425" TargetMode="External"/><Relationship Id="rId470" Type="http://schemas.openxmlformats.org/officeDocument/2006/relationships/hyperlink" Target="https://my.zakupki.prom.ua/remote/dispatcher/state_purchase_lot_view/740465" TargetMode="External"/><Relationship Id="rId929" Type="http://schemas.openxmlformats.org/officeDocument/2006/relationships/hyperlink" Target="https://my.zakupki.prom.ua/remote/dispatcher/state_purchase_view/34680845" TargetMode="External"/><Relationship Id="rId1114" Type="http://schemas.openxmlformats.org/officeDocument/2006/relationships/hyperlink" Target="https://my.zakupki.prom.ua/remote/dispatcher/state_purchase_view/34678577" TargetMode="External"/><Relationship Id="rId58" Type="http://schemas.openxmlformats.org/officeDocument/2006/relationships/hyperlink" Target="https://my.zakupki.prom.ua/remote/dispatcher/state_purchase_lot_view/740806" TargetMode="External"/><Relationship Id="rId123" Type="http://schemas.openxmlformats.org/officeDocument/2006/relationships/hyperlink" Target="https://my.zakupki.prom.ua/remote/dispatcher/state_purchase_view/34696201" TargetMode="External"/><Relationship Id="rId330" Type="http://schemas.openxmlformats.org/officeDocument/2006/relationships/hyperlink" Target="https://my.zakupki.prom.ua/remote/dispatcher/state_purchase_view/34691908" TargetMode="External"/><Relationship Id="rId568" Type="http://schemas.openxmlformats.org/officeDocument/2006/relationships/hyperlink" Target="https://my.zakupki.prom.ua/remote/dispatcher/state_purchase_view/34687780" TargetMode="External"/><Relationship Id="rId775" Type="http://schemas.openxmlformats.org/officeDocument/2006/relationships/hyperlink" Target="https://my.zakupki.prom.ua/remote/dispatcher/state_purchase_view/34683499" TargetMode="External"/><Relationship Id="rId982" Type="http://schemas.openxmlformats.org/officeDocument/2006/relationships/hyperlink" Target="https://my.zakupki.prom.ua/remote/dispatcher/state_purchase_view/34679786" TargetMode="External"/><Relationship Id="rId428" Type="http://schemas.openxmlformats.org/officeDocument/2006/relationships/hyperlink" Target="https://my.zakupki.prom.ua/remote/dispatcher/state_purchase_lot_view/740740" TargetMode="External"/><Relationship Id="rId635" Type="http://schemas.openxmlformats.org/officeDocument/2006/relationships/hyperlink" Target="https://my.zakupki.prom.ua/remote/dispatcher/state_purchase_view/34686462" TargetMode="External"/><Relationship Id="rId842" Type="http://schemas.openxmlformats.org/officeDocument/2006/relationships/hyperlink" Target="https://my.zakupki.prom.ua/remote/dispatcher/state_purchase_lot_view/740651" TargetMode="External"/><Relationship Id="rId1058" Type="http://schemas.openxmlformats.org/officeDocument/2006/relationships/hyperlink" Target="https://my.zakupki.prom.ua/remote/dispatcher/state_purchase_view/34678929" TargetMode="External"/><Relationship Id="rId274" Type="http://schemas.openxmlformats.org/officeDocument/2006/relationships/hyperlink" Target="https://my.zakupki.prom.ua/remote/dispatcher/state_purchase_view/34693161" TargetMode="External"/><Relationship Id="rId481" Type="http://schemas.openxmlformats.org/officeDocument/2006/relationships/hyperlink" Target="https://my.zakupki.prom.ua/remote/dispatcher/state_purchase_view/34688839" TargetMode="External"/><Relationship Id="rId702" Type="http://schemas.openxmlformats.org/officeDocument/2006/relationships/hyperlink" Target="https://my.zakupki.prom.ua/remote/dispatcher/state_purchase_view/34685187" TargetMode="External"/><Relationship Id="rId1125" Type="http://schemas.openxmlformats.org/officeDocument/2006/relationships/hyperlink" Target="https://my.zakupki.prom.ua/remote/dispatcher/state_purchase_view/34678204" TargetMode="External"/><Relationship Id="rId69" Type="http://schemas.openxmlformats.org/officeDocument/2006/relationships/hyperlink" Target="https://my.zakupki.prom.ua/remote/dispatcher/state_purchase_view/34697198" TargetMode="External"/><Relationship Id="rId134" Type="http://schemas.openxmlformats.org/officeDocument/2006/relationships/hyperlink" Target="https://my.zakupki.prom.ua/remote/dispatcher/state_purchase_view/34696134" TargetMode="External"/><Relationship Id="rId579" Type="http://schemas.openxmlformats.org/officeDocument/2006/relationships/hyperlink" Target="https://my.zakupki.prom.ua/remote/dispatcher/state_purchase_view/34687556" TargetMode="External"/><Relationship Id="rId786" Type="http://schemas.openxmlformats.org/officeDocument/2006/relationships/hyperlink" Target="https://my.zakupki.prom.ua/remote/dispatcher/state_purchase_view/34683360" TargetMode="External"/><Relationship Id="rId993" Type="http://schemas.openxmlformats.org/officeDocument/2006/relationships/hyperlink" Target="https://my.zakupki.prom.ua/remote/dispatcher/state_purchase_view/34679660" TargetMode="External"/><Relationship Id="rId341" Type="http://schemas.openxmlformats.org/officeDocument/2006/relationships/hyperlink" Target="https://my.zakupki.prom.ua/remote/dispatcher/state_purchase_view/34691688" TargetMode="External"/><Relationship Id="rId439" Type="http://schemas.openxmlformats.org/officeDocument/2006/relationships/hyperlink" Target="https://my.zakupki.prom.ua/remote/dispatcher/state_purchase_view/34689627" TargetMode="External"/><Relationship Id="rId646" Type="http://schemas.openxmlformats.org/officeDocument/2006/relationships/hyperlink" Target="https://my.zakupki.prom.ua/remote/dispatcher/state_purchase_view/34686050" TargetMode="External"/><Relationship Id="rId1069" Type="http://schemas.openxmlformats.org/officeDocument/2006/relationships/hyperlink" Target="https://my.zakupki.prom.ua/remote/dispatcher/state_purchase_view/34678817" TargetMode="External"/><Relationship Id="rId201" Type="http://schemas.openxmlformats.org/officeDocument/2006/relationships/hyperlink" Target="https://my.zakupki.prom.ua/remote/dispatcher/state_purchase_view/34694958" TargetMode="External"/><Relationship Id="rId285" Type="http://schemas.openxmlformats.org/officeDocument/2006/relationships/hyperlink" Target="https://my.zakupki.prom.ua/remote/dispatcher/state_purchase_view/34692922" TargetMode="External"/><Relationship Id="rId506" Type="http://schemas.openxmlformats.org/officeDocument/2006/relationships/hyperlink" Target="https://my.zakupki.prom.ua/remote/dispatcher/state_purchase_view/34688498" TargetMode="External"/><Relationship Id="rId853" Type="http://schemas.openxmlformats.org/officeDocument/2006/relationships/hyperlink" Target="https://my.zakupki.prom.ua/remote/dispatcher/state_purchase_view/34682186" TargetMode="External"/><Relationship Id="rId1136" Type="http://schemas.openxmlformats.org/officeDocument/2006/relationships/hyperlink" Target="https://my.zakupki.prom.ua/remote/dispatcher/state_purchase_view/34678060" TargetMode="External"/><Relationship Id="rId492" Type="http://schemas.openxmlformats.org/officeDocument/2006/relationships/hyperlink" Target="https://my.zakupki.prom.ua/remote/dispatcher/state_purchase_view/34688644" TargetMode="External"/><Relationship Id="rId713" Type="http://schemas.openxmlformats.org/officeDocument/2006/relationships/hyperlink" Target="https://my.zakupki.prom.ua/remote/dispatcher/state_purchase_view/34684626" TargetMode="External"/><Relationship Id="rId797" Type="http://schemas.openxmlformats.org/officeDocument/2006/relationships/hyperlink" Target="https://my.zakupki.prom.ua/remote/dispatcher/state_purchase_view/34683246" TargetMode="External"/><Relationship Id="rId920" Type="http://schemas.openxmlformats.org/officeDocument/2006/relationships/hyperlink" Target="https://my.zakupki.prom.ua/remote/dispatcher/state_purchase_view/34680938" TargetMode="External"/><Relationship Id="rId145" Type="http://schemas.openxmlformats.org/officeDocument/2006/relationships/hyperlink" Target="https://my.zakupki.prom.ua/remote/dispatcher/state_purchase_view/34695833" TargetMode="External"/><Relationship Id="rId352" Type="http://schemas.openxmlformats.org/officeDocument/2006/relationships/hyperlink" Target="https://my.zakupki.prom.ua/remote/dispatcher/state_purchase_view/34691184" TargetMode="External"/><Relationship Id="rId212" Type="http://schemas.openxmlformats.org/officeDocument/2006/relationships/hyperlink" Target="https://my.zakupki.prom.ua/remote/dispatcher/state_purchase_lot_view/740779" TargetMode="External"/><Relationship Id="rId657" Type="http://schemas.openxmlformats.org/officeDocument/2006/relationships/hyperlink" Target="https://my.zakupki.prom.ua/remote/dispatcher/state_purchase_lot_view/740674" TargetMode="External"/><Relationship Id="rId864" Type="http://schemas.openxmlformats.org/officeDocument/2006/relationships/hyperlink" Target="https://my.zakupki.prom.ua/remote/dispatcher/state_purchase_view/34682016" TargetMode="External"/><Relationship Id="rId296" Type="http://schemas.openxmlformats.org/officeDocument/2006/relationships/hyperlink" Target="https://my.zakupki.prom.ua/remote/dispatcher/state_purchase_view/34692784" TargetMode="External"/><Relationship Id="rId517" Type="http://schemas.openxmlformats.org/officeDocument/2006/relationships/hyperlink" Target="https://my.zakupki.prom.ua/remote/dispatcher/state_purchase_view/34688359" TargetMode="External"/><Relationship Id="rId724" Type="http://schemas.openxmlformats.org/officeDocument/2006/relationships/hyperlink" Target="https://my.zakupki.prom.ua/remote/dispatcher/state_purchase_view/34683971" TargetMode="External"/><Relationship Id="rId931" Type="http://schemas.openxmlformats.org/officeDocument/2006/relationships/hyperlink" Target="https://my.zakupki.prom.ua/remote/dispatcher/state_purchase_view/34680827" TargetMode="External"/><Relationship Id="rId60" Type="http://schemas.openxmlformats.org/officeDocument/2006/relationships/hyperlink" Target="https://my.zakupki.prom.ua/remote/dispatcher/state_purchase_view/34697236" TargetMode="External"/><Relationship Id="rId156" Type="http://schemas.openxmlformats.org/officeDocument/2006/relationships/hyperlink" Target="https://my.zakupki.prom.ua/remote/dispatcher/state_purchase_view/34695639" TargetMode="External"/><Relationship Id="rId363" Type="http://schemas.openxmlformats.org/officeDocument/2006/relationships/hyperlink" Target="https://my.zakupki.prom.ua/remote/dispatcher/state_purchase_view/34690929" TargetMode="External"/><Relationship Id="rId570" Type="http://schemas.openxmlformats.org/officeDocument/2006/relationships/hyperlink" Target="https://my.zakupki.prom.ua/remote/dispatcher/state_purchase_view/34687758" TargetMode="External"/><Relationship Id="rId1007" Type="http://schemas.openxmlformats.org/officeDocument/2006/relationships/hyperlink" Target="https://my.zakupki.prom.ua/remote/dispatcher/state_purchase_view/34679447" TargetMode="External"/><Relationship Id="rId223" Type="http://schemas.openxmlformats.org/officeDocument/2006/relationships/hyperlink" Target="https://my.zakupki.prom.ua/remote/dispatcher/state_purchase_view/34694274" TargetMode="External"/><Relationship Id="rId430" Type="http://schemas.openxmlformats.org/officeDocument/2006/relationships/hyperlink" Target="https://my.zakupki.prom.ua/remote/dispatcher/state_purchase_view/34686990" TargetMode="External"/><Relationship Id="rId668" Type="http://schemas.openxmlformats.org/officeDocument/2006/relationships/hyperlink" Target="https://my.zakupki.prom.ua/remote/dispatcher/state_purchase_view/34685802" TargetMode="External"/><Relationship Id="rId875" Type="http://schemas.openxmlformats.org/officeDocument/2006/relationships/hyperlink" Target="https://my.zakupki.prom.ua/remote/dispatcher/state_purchase_view/34681502" TargetMode="External"/><Relationship Id="rId1060" Type="http://schemas.openxmlformats.org/officeDocument/2006/relationships/hyperlink" Target="https://my.zakupki.prom.ua/remote/dispatcher/state_purchase_view/34678917" TargetMode="External"/><Relationship Id="rId18" Type="http://schemas.openxmlformats.org/officeDocument/2006/relationships/hyperlink" Target="https://my.zakupki.prom.ua/remote/dispatcher/state_purchase_view/34697678" TargetMode="External"/><Relationship Id="rId528" Type="http://schemas.openxmlformats.org/officeDocument/2006/relationships/hyperlink" Target="https://my.zakupki.prom.ua/remote/dispatcher/state_purchase_view/34688274" TargetMode="External"/><Relationship Id="rId735" Type="http://schemas.openxmlformats.org/officeDocument/2006/relationships/hyperlink" Target="https://my.zakupki.prom.ua/remote/dispatcher/state_purchase_view/34684435" TargetMode="External"/><Relationship Id="rId942" Type="http://schemas.openxmlformats.org/officeDocument/2006/relationships/hyperlink" Target="https://my.zakupki.prom.ua/remote/dispatcher/state_purchase_view/34680473" TargetMode="External"/><Relationship Id="rId167" Type="http://schemas.openxmlformats.org/officeDocument/2006/relationships/hyperlink" Target="https://my.zakupki.prom.ua/remote/dispatcher/state_purchase_view/34695522" TargetMode="External"/><Relationship Id="rId374" Type="http://schemas.openxmlformats.org/officeDocument/2006/relationships/hyperlink" Target="https://my.zakupki.prom.ua/remote/dispatcher/state_purchase_view/34690789" TargetMode="External"/><Relationship Id="rId581" Type="http://schemas.openxmlformats.org/officeDocument/2006/relationships/hyperlink" Target="https://my.zakupki.prom.ua/remote/dispatcher/state_purchase_view/34687546" TargetMode="External"/><Relationship Id="rId1018" Type="http://schemas.openxmlformats.org/officeDocument/2006/relationships/hyperlink" Target="https://my.zakupki.prom.ua/remote/dispatcher/state_purchase_view/34679368" TargetMode="External"/><Relationship Id="rId71" Type="http://schemas.openxmlformats.org/officeDocument/2006/relationships/hyperlink" Target="https://my.zakupki.prom.ua/remote/dispatcher/state_purchase_lot_view/740802" TargetMode="External"/><Relationship Id="rId234" Type="http://schemas.openxmlformats.org/officeDocument/2006/relationships/hyperlink" Target="https://my.zakupki.prom.ua/remote/dispatcher/state_purchase_view/34693569" TargetMode="External"/><Relationship Id="rId679" Type="http://schemas.openxmlformats.org/officeDocument/2006/relationships/hyperlink" Target="https://my.zakupki.prom.ua/remote/dispatcher/state_purchase_view/34685645" TargetMode="External"/><Relationship Id="rId802" Type="http://schemas.openxmlformats.org/officeDocument/2006/relationships/hyperlink" Target="https://my.zakupki.prom.ua/remote/dispatcher/state_purchase_view/34683084" TargetMode="External"/><Relationship Id="rId886" Type="http://schemas.openxmlformats.org/officeDocument/2006/relationships/hyperlink" Target="https://my.zakupki.prom.ua/remote/dispatcher/state_purchase_view/34681344" TargetMode="External"/><Relationship Id="rId2" Type="http://schemas.openxmlformats.org/officeDocument/2006/relationships/hyperlink" Target="https://my.zakupki.prom.ua/remote/dispatcher/state_purchase_view/34698189" TargetMode="External"/><Relationship Id="rId29" Type="http://schemas.openxmlformats.org/officeDocument/2006/relationships/hyperlink" Target="https://my.zakupki.prom.ua/remote/dispatcher/state_purchase_view/34697532" TargetMode="External"/><Relationship Id="rId441" Type="http://schemas.openxmlformats.org/officeDocument/2006/relationships/hyperlink" Target="https://my.zakupki.prom.ua/remote/dispatcher/state_purchase_view/34689607" TargetMode="External"/><Relationship Id="rId539" Type="http://schemas.openxmlformats.org/officeDocument/2006/relationships/hyperlink" Target="https://my.zakupki.prom.ua/remote/dispatcher/state_purchase_view/34688184" TargetMode="External"/><Relationship Id="rId746" Type="http://schemas.openxmlformats.org/officeDocument/2006/relationships/hyperlink" Target="https://my.zakupki.prom.ua/remote/dispatcher/state_purchase_view/34684184" TargetMode="External"/><Relationship Id="rId1071" Type="http://schemas.openxmlformats.org/officeDocument/2006/relationships/hyperlink" Target="https://my.zakupki.prom.ua/remote/dispatcher/state_purchase_view/34678778" TargetMode="External"/><Relationship Id="rId178" Type="http://schemas.openxmlformats.org/officeDocument/2006/relationships/hyperlink" Target="https://my.zakupki.prom.ua/remote/dispatcher/state_purchase_view/34695440" TargetMode="External"/><Relationship Id="rId301" Type="http://schemas.openxmlformats.org/officeDocument/2006/relationships/hyperlink" Target="https://my.zakupki.prom.ua/remote/dispatcher/state_purchase_view/34692685" TargetMode="External"/><Relationship Id="rId953" Type="http://schemas.openxmlformats.org/officeDocument/2006/relationships/hyperlink" Target="https://my.zakupki.prom.ua/remote/dispatcher/state_purchase_view/34680069" TargetMode="External"/><Relationship Id="rId1029" Type="http://schemas.openxmlformats.org/officeDocument/2006/relationships/hyperlink" Target="https://my.zakupki.prom.ua/remote/dispatcher/state_purchase_view/34679156" TargetMode="External"/><Relationship Id="rId82" Type="http://schemas.openxmlformats.org/officeDocument/2006/relationships/hyperlink" Target="https://my.zakupki.prom.ua/remote/dispatcher/state_purchase_lot_view/740801" TargetMode="External"/><Relationship Id="rId385" Type="http://schemas.openxmlformats.org/officeDocument/2006/relationships/hyperlink" Target="https://my.zakupki.prom.ua/remote/dispatcher/state_purchase_view/34690448" TargetMode="External"/><Relationship Id="rId592" Type="http://schemas.openxmlformats.org/officeDocument/2006/relationships/hyperlink" Target="https://my.zakupki.prom.ua/remote/dispatcher/state_purchase_lot_view/740694" TargetMode="External"/><Relationship Id="rId606" Type="http://schemas.openxmlformats.org/officeDocument/2006/relationships/hyperlink" Target="https://my.zakupki.prom.ua/remote/dispatcher/state_purchase_view/34687203" TargetMode="External"/><Relationship Id="rId813" Type="http://schemas.openxmlformats.org/officeDocument/2006/relationships/hyperlink" Target="https://my.zakupki.prom.ua/remote/dispatcher/state_purchase_lot_view/740654" TargetMode="External"/><Relationship Id="rId245" Type="http://schemas.openxmlformats.org/officeDocument/2006/relationships/hyperlink" Target="https://my.zakupki.prom.ua/remote/dispatcher/state_purchase_view/34693659" TargetMode="External"/><Relationship Id="rId452" Type="http://schemas.openxmlformats.org/officeDocument/2006/relationships/hyperlink" Target="https://my.zakupki.prom.ua/remote/dispatcher/state_purchase_view/34689039" TargetMode="External"/><Relationship Id="rId897" Type="http://schemas.openxmlformats.org/officeDocument/2006/relationships/hyperlink" Target="https://my.zakupki.prom.ua/remote/dispatcher/state_purchase_lot_view/740634" TargetMode="External"/><Relationship Id="rId1082" Type="http://schemas.openxmlformats.org/officeDocument/2006/relationships/hyperlink" Target="https://my.zakupki.prom.ua/remote/dispatcher/state_purchase_lot_view/740598" TargetMode="External"/><Relationship Id="rId105" Type="http://schemas.openxmlformats.org/officeDocument/2006/relationships/hyperlink" Target="https://my.zakupki.prom.ua/remote/dispatcher/state_purchase_view/34696471" TargetMode="External"/><Relationship Id="rId312" Type="http://schemas.openxmlformats.org/officeDocument/2006/relationships/hyperlink" Target="https://my.zakupki.prom.ua/remote/dispatcher/state_purchase_lot_view/740761" TargetMode="External"/><Relationship Id="rId757" Type="http://schemas.openxmlformats.org/officeDocument/2006/relationships/hyperlink" Target="https://my.zakupki.prom.ua/remote/dispatcher/state_purchase_view/34684062" TargetMode="External"/><Relationship Id="rId964" Type="http://schemas.openxmlformats.org/officeDocument/2006/relationships/hyperlink" Target="https://my.zakupki.prom.ua/remote/dispatcher/state_purchase_view/34679626" TargetMode="External"/><Relationship Id="rId93" Type="http://schemas.openxmlformats.org/officeDocument/2006/relationships/hyperlink" Target="https://my.zakupki.prom.ua/remote/dispatcher/state_purchase_view/34696610" TargetMode="External"/><Relationship Id="rId189" Type="http://schemas.openxmlformats.org/officeDocument/2006/relationships/hyperlink" Target="https://my.zakupki.prom.ua/remote/dispatcher/state_purchase_view/34695058" TargetMode="External"/><Relationship Id="rId396" Type="http://schemas.openxmlformats.org/officeDocument/2006/relationships/hyperlink" Target="https://my.zakupki.prom.ua/remote/dispatcher/state_purchase_view/34690314" TargetMode="External"/><Relationship Id="rId617" Type="http://schemas.openxmlformats.org/officeDocument/2006/relationships/hyperlink" Target="https://my.zakupki.prom.ua/remote/dispatcher/state_purchase_view/34686526" TargetMode="External"/><Relationship Id="rId824" Type="http://schemas.openxmlformats.org/officeDocument/2006/relationships/hyperlink" Target="https://my.zakupki.prom.ua/remote/dispatcher/state_purchase_view/34682858" TargetMode="External"/><Relationship Id="rId256" Type="http://schemas.openxmlformats.org/officeDocument/2006/relationships/hyperlink" Target="https://my.zakupki.prom.ua/remote/dispatcher/state_purchase_view/34667835" TargetMode="External"/><Relationship Id="rId463" Type="http://schemas.openxmlformats.org/officeDocument/2006/relationships/hyperlink" Target="https://my.zakupki.prom.ua/remote/dispatcher/state_purchase_view/34689120" TargetMode="External"/><Relationship Id="rId670" Type="http://schemas.openxmlformats.org/officeDocument/2006/relationships/hyperlink" Target="https://my.zakupki.prom.ua/remote/dispatcher/state_purchase_view/34685761" TargetMode="External"/><Relationship Id="rId1093" Type="http://schemas.openxmlformats.org/officeDocument/2006/relationships/hyperlink" Target="https://my.zakupki.prom.ua/remote/dispatcher/state_purchase_lot_view/740609" TargetMode="External"/><Relationship Id="rId1107" Type="http://schemas.openxmlformats.org/officeDocument/2006/relationships/hyperlink" Target="https://my.zakupki.prom.ua/remote/dispatcher/state_purchase_lot_view/740585" TargetMode="External"/><Relationship Id="rId116" Type="http://schemas.openxmlformats.org/officeDocument/2006/relationships/hyperlink" Target="https://my.zakupki.prom.ua/remote/dispatcher/state_purchase_view/34696388" TargetMode="External"/><Relationship Id="rId323" Type="http://schemas.openxmlformats.org/officeDocument/2006/relationships/hyperlink" Target="https://my.zakupki.prom.ua/remote/dispatcher/state_purchase_view/34692061" TargetMode="External"/><Relationship Id="rId530" Type="http://schemas.openxmlformats.org/officeDocument/2006/relationships/hyperlink" Target="https://my.zakupki.prom.ua/remote/dispatcher/state_purchase_view/34688256" TargetMode="External"/><Relationship Id="rId768" Type="http://schemas.openxmlformats.org/officeDocument/2006/relationships/hyperlink" Target="https://my.zakupki.prom.ua/remote/dispatcher/state_purchase_view/34679578" TargetMode="External"/><Relationship Id="rId975" Type="http://schemas.openxmlformats.org/officeDocument/2006/relationships/hyperlink" Target="https://my.zakupki.prom.ua/remote/dispatcher/state_purchase_view/34679838" TargetMode="External"/><Relationship Id="rId20" Type="http://schemas.openxmlformats.org/officeDocument/2006/relationships/hyperlink" Target="https://my.zakupki.prom.ua/remote/dispatcher/state_purchase_lot_view/740824" TargetMode="External"/><Relationship Id="rId628" Type="http://schemas.openxmlformats.org/officeDocument/2006/relationships/hyperlink" Target="https://my.zakupki.prom.ua/remote/dispatcher/state_purchase_view/34686672" TargetMode="External"/><Relationship Id="rId835" Type="http://schemas.openxmlformats.org/officeDocument/2006/relationships/hyperlink" Target="https://my.zakupki.prom.ua/remote/dispatcher/state_purchase_view/34682376" TargetMode="External"/><Relationship Id="rId267" Type="http://schemas.openxmlformats.org/officeDocument/2006/relationships/hyperlink" Target="https://my.zakupki.prom.ua/remote/dispatcher/state_purchase_view/34693398" TargetMode="External"/><Relationship Id="rId474" Type="http://schemas.openxmlformats.org/officeDocument/2006/relationships/hyperlink" Target="https://my.zakupki.prom.ua/remote/dispatcher/state_purchase_view/34688983" TargetMode="External"/><Relationship Id="rId1020" Type="http://schemas.openxmlformats.org/officeDocument/2006/relationships/hyperlink" Target="https://my.zakupki.prom.ua/remote/dispatcher/state_purchase_lot_view/740622" TargetMode="External"/><Relationship Id="rId1118" Type="http://schemas.openxmlformats.org/officeDocument/2006/relationships/hyperlink" Target="https://my.zakupki.prom.ua/remote/dispatcher/state_purchase_view/34678464" TargetMode="External"/><Relationship Id="rId127" Type="http://schemas.openxmlformats.org/officeDocument/2006/relationships/hyperlink" Target="https://my.zakupki.prom.ua/remote/dispatcher/state_purchase_view/34696192" TargetMode="External"/><Relationship Id="rId681" Type="http://schemas.openxmlformats.org/officeDocument/2006/relationships/hyperlink" Target="https://my.zakupki.prom.ua/remote/dispatcher/state_purchase_view/34685643" TargetMode="External"/><Relationship Id="rId779" Type="http://schemas.openxmlformats.org/officeDocument/2006/relationships/hyperlink" Target="https://my.zakupki.prom.ua/remote/dispatcher/state_purchase_view/34683441" TargetMode="External"/><Relationship Id="rId902" Type="http://schemas.openxmlformats.org/officeDocument/2006/relationships/hyperlink" Target="https://my.zakupki.prom.ua/remote/dispatcher/state_purchase_view/34681260" TargetMode="External"/><Relationship Id="rId986" Type="http://schemas.openxmlformats.org/officeDocument/2006/relationships/hyperlink" Target="https://my.zakupki.prom.ua/remote/dispatcher/state_purchase_view/34679750" TargetMode="External"/><Relationship Id="rId31" Type="http://schemas.openxmlformats.org/officeDocument/2006/relationships/hyperlink" Target="https://my.zakupki.prom.ua/remote/dispatcher/state_purchase_view/34697525" TargetMode="External"/><Relationship Id="rId73" Type="http://schemas.openxmlformats.org/officeDocument/2006/relationships/hyperlink" Target="https://my.zakupki.prom.ua/remote/dispatcher/state_purchase_lot_view/740792" TargetMode="External"/><Relationship Id="rId169" Type="http://schemas.openxmlformats.org/officeDocument/2006/relationships/hyperlink" Target="https://my.zakupki.prom.ua/remote/dispatcher/state_purchase_view/34695503" TargetMode="External"/><Relationship Id="rId334" Type="http://schemas.openxmlformats.org/officeDocument/2006/relationships/hyperlink" Target="https://my.zakupki.prom.ua/remote/dispatcher/state_purchase_view/34691777" TargetMode="External"/><Relationship Id="rId376" Type="http://schemas.openxmlformats.org/officeDocument/2006/relationships/hyperlink" Target="https://my.zakupki.prom.ua/remote/dispatcher/state_purchase_view/34690729" TargetMode="External"/><Relationship Id="rId541" Type="http://schemas.openxmlformats.org/officeDocument/2006/relationships/hyperlink" Target="https://my.zakupki.prom.ua/remote/dispatcher/state_purchase_view/34688164" TargetMode="External"/><Relationship Id="rId583" Type="http://schemas.openxmlformats.org/officeDocument/2006/relationships/hyperlink" Target="https://my.zakupki.prom.ua/remote/dispatcher/state_purchase_view/34687478" TargetMode="External"/><Relationship Id="rId639" Type="http://schemas.openxmlformats.org/officeDocument/2006/relationships/hyperlink" Target="https://my.zakupki.prom.ua/remote/dispatcher/state_purchase_view/34686383" TargetMode="External"/><Relationship Id="rId790" Type="http://schemas.openxmlformats.org/officeDocument/2006/relationships/hyperlink" Target="https://my.zakupki.prom.ua/remote/dispatcher/state_purchase_view/34683296" TargetMode="External"/><Relationship Id="rId804" Type="http://schemas.openxmlformats.org/officeDocument/2006/relationships/hyperlink" Target="https://my.zakupki.prom.ua/remote/dispatcher/state_purchase_view/34683024" TargetMode="External"/><Relationship Id="rId4" Type="http://schemas.openxmlformats.org/officeDocument/2006/relationships/hyperlink" Target="https://my.zakupki.prom.ua/remote/dispatcher/state_purchase_view/34698138" TargetMode="External"/><Relationship Id="rId180" Type="http://schemas.openxmlformats.org/officeDocument/2006/relationships/hyperlink" Target="https://my.zakupki.prom.ua/remote/dispatcher/state_purchase_view/34694678" TargetMode="External"/><Relationship Id="rId236" Type="http://schemas.openxmlformats.org/officeDocument/2006/relationships/hyperlink" Target="https://my.zakupki.prom.ua/remote/dispatcher/state_purchase_view/34682384" TargetMode="External"/><Relationship Id="rId278" Type="http://schemas.openxmlformats.org/officeDocument/2006/relationships/hyperlink" Target="https://my.zakupki.prom.ua/remote/dispatcher/state_purchase_view/34693029" TargetMode="External"/><Relationship Id="rId401" Type="http://schemas.openxmlformats.org/officeDocument/2006/relationships/hyperlink" Target="https://my.zakupki.prom.ua/remote/dispatcher/state_purchase_view/34690278" TargetMode="External"/><Relationship Id="rId443" Type="http://schemas.openxmlformats.org/officeDocument/2006/relationships/hyperlink" Target="https://my.zakupki.prom.ua/remote/dispatcher/state_purchase_view/34689577" TargetMode="External"/><Relationship Id="rId650" Type="http://schemas.openxmlformats.org/officeDocument/2006/relationships/hyperlink" Target="https://my.zakupki.prom.ua/remote/dispatcher/state_purchase_view/34686037" TargetMode="External"/><Relationship Id="rId846" Type="http://schemas.openxmlformats.org/officeDocument/2006/relationships/hyperlink" Target="https://my.zakupki.prom.ua/remote/dispatcher/state_purchase_view/34682239" TargetMode="External"/><Relationship Id="rId888" Type="http://schemas.openxmlformats.org/officeDocument/2006/relationships/hyperlink" Target="https://my.zakupki.prom.ua/remote/dispatcher/state_purchase_view/34681333" TargetMode="External"/><Relationship Id="rId1031" Type="http://schemas.openxmlformats.org/officeDocument/2006/relationships/hyperlink" Target="https://my.zakupki.prom.ua/remote/dispatcher/state_purchase_view/34679124" TargetMode="External"/><Relationship Id="rId1073" Type="http://schemas.openxmlformats.org/officeDocument/2006/relationships/hyperlink" Target="https://my.zakupki.prom.ua/remote/dispatcher/state_purchase_view/34678754" TargetMode="External"/><Relationship Id="rId1129" Type="http://schemas.openxmlformats.org/officeDocument/2006/relationships/hyperlink" Target="https://my.zakupki.prom.ua/remote/dispatcher/state_purchase_view/34678179" TargetMode="External"/><Relationship Id="rId303" Type="http://schemas.openxmlformats.org/officeDocument/2006/relationships/hyperlink" Target="https://my.zakupki.prom.ua/remote/dispatcher/state_purchase_view/34692568" TargetMode="External"/><Relationship Id="rId485" Type="http://schemas.openxmlformats.org/officeDocument/2006/relationships/hyperlink" Target="https://my.zakupki.prom.ua/remote/dispatcher/state_purchase_view/34688772" TargetMode="External"/><Relationship Id="rId692" Type="http://schemas.openxmlformats.org/officeDocument/2006/relationships/hyperlink" Target="https://my.zakupki.prom.ua/remote/dispatcher/state_purchase_view/34685309" TargetMode="External"/><Relationship Id="rId706" Type="http://schemas.openxmlformats.org/officeDocument/2006/relationships/hyperlink" Target="https://my.zakupki.prom.ua/remote/dispatcher/state_purchase_view/34685141" TargetMode="External"/><Relationship Id="rId748" Type="http://schemas.openxmlformats.org/officeDocument/2006/relationships/hyperlink" Target="https://my.zakupki.prom.ua/remote/dispatcher/state_purchase_view/34684161" TargetMode="External"/><Relationship Id="rId913" Type="http://schemas.openxmlformats.org/officeDocument/2006/relationships/hyperlink" Target="https://my.zakupki.prom.ua/remote/dispatcher/state_purchase_view/34681028" TargetMode="External"/><Relationship Id="rId955" Type="http://schemas.openxmlformats.org/officeDocument/2006/relationships/hyperlink" Target="https://my.zakupki.prom.ua/remote/dispatcher/state_purchase_view/34680038" TargetMode="External"/><Relationship Id="rId42" Type="http://schemas.openxmlformats.org/officeDocument/2006/relationships/hyperlink" Target="https://my.zakupki.prom.ua/remote/dispatcher/state_purchase_lot_view/740811" TargetMode="External"/><Relationship Id="rId84" Type="http://schemas.openxmlformats.org/officeDocument/2006/relationships/hyperlink" Target="https://my.zakupki.prom.ua/remote/dispatcher/state_purchase_view/34697131" TargetMode="External"/><Relationship Id="rId138" Type="http://schemas.openxmlformats.org/officeDocument/2006/relationships/hyperlink" Target="https://my.zakupki.prom.ua/remote/dispatcher/state_purchase_view/34696077" TargetMode="External"/><Relationship Id="rId345" Type="http://schemas.openxmlformats.org/officeDocument/2006/relationships/hyperlink" Target="https://my.zakupki.prom.ua/remote/dispatcher/state_purchase_view/34691307" TargetMode="External"/><Relationship Id="rId387" Type="http://schemas.openxmlformats.org/officeDocument/2006/relationships/hyperlink" Target="https://my.zakupki.prom.ua/remote/dispatcher/state_purchase_view/34690412" TargetMode="External"/><Relationship Id="rId510" Type="http://schemas.openxmlformats.org/officeDocument/2006/relationships/hyperlink" Target="https://my.zakupki.prom.ua/remote/dispatcher/state_purchase_view/34688449" TargetMode="External"/><Relationship Id="rId552" Type="http://schemas.openxmlformats.org/officeDocument/2006/relationships/hyperlink" Target="https://my.zakupki.prom.ua/remote/dispatcher/state_purchase_lot_view/740708" TargetMode="External"/><Relationship Id="rId594" Type="http://schemas.openxmlformats.org/officeDocument/2006/relationships/hyperlink" Target="https://my.zakupki.prom.ua/remote/dispatcher/state_purchase_lot_view/740696" TargetMode="External"/><Relationship Id="rId608" Type="http://schemas.openxmlformats.org/officeDocument/2006/relationships/hyperlink" Target="https://my.zakupki.prom.ua/remote/dispatcher/state_purchase_view/34687195" TargetMode="External"/><Relationship Id="rId815" Type="http://schemas.openxmlformats.org/officeDocument/2006/relationships/hyperlink" Target="https://my.zakupki.prom.ua/remote/dispatcher/state_purchase_view/34682887" TargetMode="External"/><Relationship Id="rId997" Type="http://schemas.openxmlformats.org/officeDocument/2006/relationships/hyperlink" Target="https://my.zakupki.prom.ua/remote/dispatcher/state_purchase_view/34678849" TargetMode="External"/><Relationship Id="rId191" Type="http://schemas.openxmlformats.org/officeDocument/2006/relationships/hyperlink" Target="https://my.zakupki.prom.ua/remote/dispatcher/state_purchase_view/34695049" TargetMode="External"/><Relationship Id="rId205" Type="http://schemas.openxmlformats.org/officeDocument/2006/relationships/hyperlink" Target="https://my.zakupki.prom.ua/remote/dispatcher/state_purchase_view/34694711" TargetMode="External"/><Relationship Id="rId247" Type="http://schemas.openxmlformats.org/officeDocument/2006/relationships/hyperlink" Target="https://my.zakupki.prom.ua/remote/dispatcher/state_purchase_view/34692957" TargetMode="External"/><Relationship Id="rId412" Type="http://schemas.openxmlformats.org/officeDocument/2006/relationships/hyperlink" Target="https://my.zakupki.prom.ua/remote/dispatcher/state_purchase_view/34690138" TargetMode="External"/><Relationship Id="rId857" Type="http://schemas.openxmlformats.org/officeDocument/2006/relationships/hyperlink" Target="https://my.zakupki.prom.ua/remote/dispatcher/state_purchase_view/34682135" TargetMode="External"/><Relationship Id="rId899" Type="http://schemas.openxmlformats.org/officeDocument/2006/relationships/hyperlink" Target="https://my.zakupki.prom.ua/remote/dispatcher/state_purchase_lot_view/740636" TargetMode="External"/><Relationship Id="rId1000" Type="http://schemas.openxmlformats.org/officeDocument/2006/relationships/hyperlink" Target="https://my.zakupki.prom.ua/remote/dispatcher/state_purchase_view/34679528" TargetMode="External"/><Relationship Id="rId1042" Type="http://schemas.openxmlformats.org/officeDocument/2006/relationships/hyperlink" Target="https://my.zakupki.prom.ua/remote/dispatcher/state_purchase_lot_view/740615" TargetMode="External"/><Relationship Id="rId1084" Type="http://schemas.openxmlformats.org/officeDocument/2006/relationships/hyperlink" Target="https://my.zakupki.prom.ua/remote/dispatcher/state_purchase_lot_view/740600" TargetMode="External"/><Relationship Id="rId107" Type="http://schemas.openxmlformats.org/officeDocument/2006/relationships/hyperlink" Target="https://my.zakupki.prom.ua/remote/dispatcher/state_purchase_view/34696464" TargetMode="External"/><Relationship Id="rId289" Type="http://schemas.openxmlformats.org/officeDocument/2006/relationships/hyperlink" Target="https://my.zakupki.prom.ua/remote/dispatcher/state_purchase_view/34692845" TargetMode="External"/><Relationship Id="rId454" Type="http://schemas.openxmlformats.org/officeDocument/2006/relationships/hyperlink" Target="https://my.zakupki.prom.ua/remote/dispatcher/state_purchase_view/34689198" TargetMode="External"/><Relationship Id="rId496" Type="http://schemas.openxmlformats.org/officeDocument/2006/relationships/hyperlink" Target="https://my.zakupki.prom.ua/remote/dispatcher/state_purchase_view/34688585" TargetMode="External"/><Relationship Id="rId661" Type="http://schemas.openxmlformats.org/officeDocument/2006/relationships/hyperlink" Target="https://my.zakupki.prom.ua/remote/dispatcher/state_purchase_lot_view/740678" TargetMode="External"/><Relationship Id="rId717" Type="http://schemas.openxmlformats.org/officeDocument/2006/relationships/hyperlink" Target="https://my.zakupki.prom.ua/remote/dispatcher/state_purchase_lot_view/740668" TargetMode="External"/><Relationship Id="rId759" Type="http://schemas.openxmlformats.org/officeDocument/2006/relationships/hyperlink" Target="https://my.zakupki.prom.ua/remote/dispatcher/state_purchase_lot_view/740660" TargetMode="External"/><Relationship Id="rId924" Type="http://schemas.openxmlformats.org/officeDocument/2006/relationships/hyperlink" Target="https://my.zakupki.prom.ua/remote/dispatcher/state_purchase_view/34680891" TargetMode="External"/><Relationship Id="rId966" Type="http://schemas.openxmlformats.org/officeDocument/2006/relationships/hyperlink" Target="https://my.zakupki.prom.ua/remote/dispatcher/state_purchase_view/34679889" TargetMode="External"/><Relationship Id="rId11" Type="http://schemas.openxmlformats.org/officeDocument/2006/relationships/hyperlink" Target="https://my.zakupki.prom.ua/remote/dispatcher/state_purchase_view/34697724" TargetMode="External"/><Relationship Id="rId53" Type="http://schemas.openxmlformats.org/officeDocument/2006/relationships/hyperlink" Target="https://my.zakupki.prom.ua/remote/dispatcher/state_purchase_view/34697289" TargetMode="External"/><Relationship Id="rId149" Type="http://schemas.openxmlformats.org/officeDocument/2006/relationships/hyperlink" Target="https://my.zakupki.prom.ua/remote/dispatcher/state_purchase_view/34695747" TargetMode="External"/><Relationship Id="rId314" Type="http://schemas.openxmlformats.org/officeDocument/2006/relationships/hyperlink" Target="https://my.zakupki.prom.ua/remote/dispatcher/state_purchase_view/34692437" TargetMode="External"/><Relationship Id="rId356" Type="http://schemas.openxmlformats.org/officeDocument/2006/relationships/hyperlink" Target="https://my.zakupki.prom.ua/remote/dispatcher/state_purchase_view/34691107" TargetMode="External"/><Relationship Id="rId398" Type="http://schemas.openxmlformats.org/officeDocument/2006/relationships/hyperlink" Target="https://my.zakupki.prom.ua/remote/dispatcher/state_purchase_view/34690287" TargetMode="External"/><Relationship Id="rId521" Type="http://schemas.openxmlformats.org/officeDocument/2006/relationships/hyperlink" Target="https://my.zakupki.prom.ua/remote/dispatcher/state_purchase_view/34675233" TargetMode="External"/><Relationship Id="rId563" Type="http://schemas.openxmlformats.org/officeDocument/2006/relationships/hyperlink" Target="https://my.zakupki.prom.ua/remote/dispatcher/state_purchase_view/34687811" TargetMode="External"/><Relationship Id="rId619" Type="http://schemas.openxmlformats.org/officeDocument/2006/relationships/hyperlink" Target="https://my.zakupki.prom.ua/remote/dispatcher/state_purchase_view/34684354" TargetMode="External"/><Relationship Id="rId770" Type="http://schemas.openxmlformats.org/officeDocument/2006/relationships/hyperlink" Target="https://my.zakupki.prom.ua/remote/dispatcher/state_purchase_view/34679971" TargetMode="External"/><Relationship Id="rId95" Type="http://schemas.openxmlformats.org/officeDocument/2006/relationships/hyperlink" Target="https://my.zakupki.prom.ua/remote/dispatcher/state_purchase_view/34696557" TargetMode="External"/><Relationship Id="rId160" Type="http://schemas.openxmlformats.org/officeDocument/2006/relationships/hyperlink" Target="https://my.zakupki.prom.ua/remote/dispatcher/state_purchase_view/34695566" TargetMode="External"/><Relationship Id="rId216" Type="http://schemas.openxmlformats.org/officeDocument/2006/relationships/hyperlink" Target="https://my.zakupki.prom.ua/remote/dispatcher/state_purchase_view/34694372" TargetMode="External"/><Relationship Id="rId423" Type="http://schemas.openxmlformats.org/officeDocument/2006/relationships/hyperlink" Target="https://my.zakupki.prom.ua/remote/dispatcher/state_purchase_view/34689830" TargetMode="External"/><Relationship Id="rId826" Type="http://schemas.openxmlformats.org/officeDocument/2006/relationships/hyperlink" Target="https://my.zakupki.prom.ua/remote/dispatcher/state_purchase_view/34682826" TargetMode="External"/><Relationship Id="rId868" Type="http://schemas.openxmlformats.org/officeDocument/2006/relationships/hyperlink" Target="https://my.zakupki.prom.ua/remote/dispatcher/state_purchase_view/34681838" TargetMode="External"/><Relationship Id="rId1011" Type="http://schemas.openxmlformats.org/officeDocument/2006/relationships/hyperlink" Target="https://my.zakupki.prom.ua/remote/dispatcher/state_purchase_view/34679395" TargetMode="External"/><Relationship Id="rId1053" Type="http://schemas.openxmlformats.org/officeDocument/2006/relationships/hyperlink" Target="https://my.zakupki.prom.ua/remote/dispatcher/state_purchase_view/34678946" TargetMode="External"/><Relationship Id="rId1109" Type="http://schemas.openxmlformats.org/officeDocument/2006/relationships/hyperlink" Target="https://my.zakupki.prom.ua/remote/dispatcher/state_purchase_lot_view/740587" TargetMode="External"/><Relationship Id="rId258" Type="http://schemas.openxmlformats.org/officeDocument/2006/relationships/hyperlink" Target="https://my.zakupki.prom.ua/remote/dispatcher/state_purchase_view/34670584" TargetMode="External"/><Relationship Id="rId465" Type="http://schemas.openxmlformats.org/officeDocument/2006/relationships/hyperlink" Target="https://my.zakupki.prom.ua/remote/dispatcher/state_purchase_view/34689116" TargetMode="External"/><Relationship Id="rId630" Type="http://schemas.openxmlformats.org/officeDocument/2006/relationships/hyperlink" Target="https://my.zakupki.prom.ua/remote/dispatcher/state_purchase_view/34686532" TargetMode="External"/><Relationship Id="rId672" Type="http://schemas.openxmlformats.org/officeDocument/2006/relationships/hyperlink" Target="https://my.zakupki.prom.ua/remote/dispatcher/state_purchase_view/34685748" TargetMode="External"/><Relationship Id="rId728" Type="http://schemas.openxmlformats.org/officeDocument/2006/relationships/hyperlink" Target="https://my.zakupki.prom.ua/remote/dispatcher/state_purchase_view/34684744" TargetMode="External"/><Relationship Id="rId935" Type="http://schemas.openxmlformats.org/officeDocument/2006/relationships/hyperlink" Target="https://my.zakupki.prom.ua/remote/dispatcher/state_purchase_view/34680830" TargetMode="External"/><Relationship Id="rId1095" Type="http://schemas.openxmlformats.org/officeDocument/2006/relationships/hyperlink" Target="https://my.zakupki.prom.ua/remote/dispatcher/state_purchase_lot_view/740590" TargetMode="External"/><Relationship Id="rId22" Type="http://schemas.openxmlformats.org/officeDocument/2006/relationships/hyperlink" Target="https://my.zakupki.prom.ua/remote/dispatcher/state_purchase_view/34697657" TargetMode="External"/><Relationship Id="rId64" Type="http://schemas.openxmlformats.org/officeDocument/2006/relationships/hyperlink" Target="https://my.zakupki.prom.ua/remote/dispatcher/state_purchase_lot_view/740804" TargetMode="External"/><Relationship Id="rId118" Type="http://schemas.openxmlformats.org/officeDocument/2006/relationships/hyperlink" Target="https://my.zakupki.prom.ua/remote/dispatcher/state_purchase_view/34696378" TargetMode="External"/><Relationship Id="rId325" Type="http://schemas.openxmlformats.org/officeDocument/2006/relationships/hyperlink" Target="https://my.zakupki.prom.ua/remote/dispatcher/state_purchase_view/34692030" TargetMode="External"/><Relationship Id="rId367" Type="http://schemas.openxmlformats.org/officeDocument/2006/relationships/hyperlink" Target="https://my.zakupki.prom.ua/remote/dispatcher/state_purchase_view/34666551" TargetMode="External"/><Relationship Id="rId532" Type="http://schemas.openxmlformats.org/officeDocument/2006/relationships/hyperlink" Target="https://my.zakupki.prom.ua/remote/dispatcher/state_purchase_view/34688244" TargetMode="External"/><Relationship Id="rId574" Type="http://schemas.openxmlformats.org/officeDocument/2006/relationships/hyperlink" Target="https://my.zakupki.prom.ua/remote/dispatcher/state_purchase_view/34687662" TargetMode="External"/><Relationship Id="rId977" Type="http://schemas.openxmlformats.org/officeDocument/2006/relationships/hyperlink" Target="https://my.zakupki.prom.ua/remote/dispatcher/state_purchase_view/34679820" TargetMode="External"/><Relationship Id="rId1120" Type="http://schemas.openxmlformats.org/officeDocument/2006/relationships/hyperlink" Target="https://my.zakupki.prom.ua/remote/dispatcher/state_purchase_view/34678415" TargetMode="External"/><Relationship Id="rId171" Type="http://schemas.openxmlformats.org/officeDocument/2006/relationships/hyperlink" Target="https://my.zakupki.prom.ua/remote/dispatcher/state_purchase_view/34695493" TargetMode="External"/><Relationship Id="rId227" Type="http://schemas.openxmlformats.org/officeDocument/2006/relationships/hyperlink" Target="https://my.zakupki.prom.ua/remote/dispatcher/state_purchase_view/34694214" TargetMode="External"/><Relationship Id="rId781" Type="http://schemas.openxmlformats.org/officeDocument/2006/relationships/hyperlink" Target="https://my.zakupki.prom.ua/remote/dispatcher/state_purchase_view/34683429" TargetMode="External"/><Relationship Id="rId837" Type="http://schemas.openxmlformats.org/officeDocument/2006/relationships/hyperlink" Target="https://my.zakupki.prom.ua/remote/dispatcher/state_purchase_view/34682359" TargetMode="External"/><Relationship Id="rId879" Type="http://schemas.openxmlformats.org/officeDocument/2006/relationships/hyperlink" Target="https://my.zakupki.prom.ua/remote/dispatcher/state_purchase_view/34681410" TargetMode="External"/><Relationship Id="rId1022" Type="http://schemas.openxmlformats.org/officeDocument/2006/relationships/hyperlink" Target="https://my.zakupki.prom.ua/remote/dispatcher/state_purchase_view/34679345" TargetMode="External"/><Relationship Id="rId269" Type="http://schemas.openxmlformats.org/officeDocument/2006/relationships/hyperlink" Target="https://my.zakupki.prom.ua/remote/dispatcher/state_purchase_view/34693379" TargetMode="External"/><Relationship Id="rId434" Type="http://schemas.openxmlformats.org/officeDocument/2006/relationships/hyperlink" Target="https://my.zakupki.prom.ua/remote/dispatcher/state_purchase_view/34689646" TargetMode="External"/><Relationship Id="rId476" Type="http://schemas.openxmlformats.org/officeDocument/2006/relationships/hyperlink" Target="https://my.zakupki.prom.ua/remote/dispatcher/state_purchase_view/34688965" TargetMode="External"/><Relationship Id="rId641" Type="http://schemas.openxmlformats.org/officeDocument/2006/relationships/hyperlink" Target="https://my.zakupki.prom.ua/remote/dispatcher/state_purchase_view/34686369" TargetMode="External"/><Relationship Id="rId683" Type="http://schemas.openxmlformats.org/officeDocument/2006/relationships/hyperlink" Target="https://my.zakupki.prom.ua/remote/dispatcher/state_purchase_view/34685628" TargetMode="External"/><Relationship Id="rId739" Type="http://schemas.openxmlformats.org/officeDocument/2006/relationships/hyperlink" Target="https://my.zakupki.prom.ua/remote/dispatcher/state_purchase_view/34684369" TargetMode="External"/><Relationship Id="rId890" Type="http://schemas.openxmlformats.org/officeDocument/2006/relationships/hyperlink" Target="https://my.zakupki.prom.ua/remote/dispatcher/state_purchase_view/34681322" TargetMode="External"/><Relationship Id="rId904" Type="http://schemas.openxmlformats.org/officeDocument/2006/relationships/hyperlink" Target="https://my.zakupki.prom.ua/remote/dispatcher/state_purchase_view/34681244" TargetMode="External"/><Relationship Id="rId1064" Type="http://schemas.openxmlformats.org/officeDocument/2006/relationships/hyperlink" Target="https://my.zakupki.prom.ua/remote/dispatcher/state_purchase_view/34678883" TargetMode="External"/><Relationship Id="rId33" Type="http://schemas.openxmlformats.org/officeDocument/2006/relationships/hyperlink" Target="https://my.zakupki.prom.ua/remote/dispatcher/state_purchase_view/34697487" TargetMode="External"/><Relationship Id="rId129" Type="http://schemas.openxmlformats.org/officeDocument/2006/relationships/hyperlink" Target="https://my.zakupki.prom.ua/remote/dispatcher/state_purchase_view/34696156" TargetMode="External"/><Relationship Id="rId280" Type="http://schemas.openxmlformats.org/officeDocument/2006/relationships/hyperlink" Target="https://my.zakupki.prom.ua/remote/dispatcher/state_purchase_view/34692993" TargetMode="External"/><Relationship Id="rId336" Type="http://schemas.openxmlformats.org/officeDocument/2006/relationships/hyperlink" Target="https://my.zakupki.prom.ua/remote/dispatcher/state_purchase_view/34691765" TargetMode="External"/><Relationship Id="rId501" Type="http://schemas.openxmlformats.org/officeDocument/2006/relationships/hyperlink" Target="https://my.zakupki.prom.ua/remote/dispatcher/state_purchase_view/34688534" TargetMode="External"/><Relationship Id="rId543" Type="http://schemas.openxmlformats.org/officeDocument/2006/relationships/hyperlink" Target="https://my.zakupki.prom.ua/remote/dispatcher/state_purchase_view/34687939" TargetMode="External"/><Relationship Id="rId946" Type="http://schemas.openxmlformats.org/officeDocument/2006/relationships/hyperlink" Target="https://my.zakupki.prom.ua/remote/dispatcher/state_purchase_view/34680400" TargetMode="External"/><Relationship Id="rId988" Type="http://schemas.openxmlformats.org/officeDocument/2006/relationships/hyperlink" Target="https://my.zakupki.prom.ua/remote/dispatcher/state_purchase_view/34679742" TargetMode="External"/><Relationship Id="rId1131" Type="http://schemas.openxmlformats.org/officeDocument/2006/relationships/hyperlink" Target="https://my.zakupki.prom.ua/remote/dispatcher/state_purchase_view/34678176" TargetMode="External"/><Relationship Id="rId75" Type="http://schemas.openxmlformats.org/officeDocument/2006/relationships/hyperlink" Target="https://my.zakupki.prom.ua/remote/dispatcher/state_purchase_lot_view/740794" TargetMode="External"/><Relationship Id="rId140" Type="http://schemas.openxmlformats.org/officeDocument/2006/relationships/hyperlink" Target="https://my.zakupki.prom.ua/remote/dispatcher/state_purchase_view/34695983" TargetMode="External"/><Relationship Id="rId182" Type="http://schemas.openxmlformats.org/officeDocument/2006/relationships/hyperlink" Target="https://my.zakupki.prom.ua/remote/dispatcher/state_purchase_view/34695275" TargetMode="External"/><Relationship Id="rId378" Type="http://schemas.openxmlformats.org/officeDocument/2006/relationships/hyperlink" Target="https://my.zakupki.prom.ua/remote/dispatcher/state_purchase_view/34690689" TargetMode="External"/><Relationship Id="rId403" Type="http://schemas.openxmlformats.org/officeDocument/2006/relationships/hyperlink" Target="https://my.zakupki.prom.ua/remote/dispatcher/state_purchase_view/34690253" TargetMode="External"/><Relationship Id="rId585" Type="http://schemas.openxmlformats.org/officeDocument/2006/relationships/hyperlink" Target="https://my.zakupki.prom.ua/remote/dispatcher/state_purchase_view/34687318" TargetMode="External"/><Relationship Id="rId750" Type="http://schemas.openxmlformats.org/officeDocument/2006/relationships/hyperlink" Target="https://my.zakupki.prom.ua/remote/dispatcher/state_purchase_view/34684157" TargetMode="External"/><Relationship Id="rId792" Type="http://schemas.openxmlformats.org/officeDocument/2006/relationships/hyperlink" Target="https://my.zakupki.prom.ua/remote/dispatcher/state_purchase_view/34683280" TargetMode="External"/><Relationship Id="rId806" Type="http://schemas.openxmlformats.org/officeDocument/2006/relationships/hyperlink" Target="https://my.zakupki.prom.ua/remote/dispatcher/state_purchase_view/34683011" TargetMode="External"/><Relationship Id="rId848" Type="http://schemas.openxmlformats.org/officeDocument/2006/relationships/hyperlink" Target="https://my.zakupki.prom.ua/remote/dispatcher/state_purchase_lot_view/740645" TargetMode="External"/><Relationship Id="rId1033" Type="http://schemas.openxmlformats.org/officeDocument/2006/relationships/hyperlink" Target="https://my.zakupki.prom.ua/remote/dispatcher/state_purchase_view/34679066" TargetMode="External"/><Relationship Id="rId6" Type="http://schemas.openxmlformats.org/officeDocument/2006/relationships/hyperlink" Target="https://my.zakupki.prom.ua/remote/dispatcher/state_purchase_view/34697753" TargetMode="External"/><Relationship Id="rId238" Type="http://schemas.openxmlformats.org/officeDocument/2006/relationships/hyperlink" Target="https://my.zakupki.prom.ua/remote/dispatcher/state_purchase_view/34693743" TargetMode="External"/><Relationship Id="rId445" Type="http://schemas.openxmlformats.org/officeDocument/2006/relationships/hyperlink" Target="https://my.zakupki.prom.ua/remote/dispatcher/state_purchase_view/34689547" TargetMode="External"/><Relationship Id="rId487" Type="http://schemas.openxmlformats.org/officeDocument/2006/relationships/hyperlink" Target="https://my.zakupki.prom.ua/remote/dispatcher/state_purchase_view/34688710" TargetMode="External"/><Relationship Id="rId610" Type="http://schemas.openxmlformats.org/officeDocument/2006/relationships/hyperlink" Target="https://my.zakupki.prom.ua/remote/dispatcher/state_purchase_view/34687186" TargetMode="External"/><Relationship Id="rId652" Type="http://schemas.openxmlformats.org/officeDocument/2006/relationships/hyperlink" Target="https://my.zakupki.prom.ua/remote/dispatcher/state_purchase_view/34685952" TargetMode="External"/><Relationship Id="rId694" Type="http://schemas.openxmlformats.org/officeDocument/2006/relationships/hyperlink" Target="https://my.zakupki.prom.ua/remote/dispatcher/state_purchase_view/34685251" TargetMode="External"/><Relationship Id="rId708" Type="http://schemas.openxmlformats.org/officeDocument/2006/relationships/hyperlink" Target="https://my.zakupki.prom.ua/remote/dispatcher/state_purchase_view/34685103" TargetMode="External"/><Relationship Id="rId915" Type="http://schemas.openxmlformats.org/officeDocument/2006/relationships/hyperlink" Target="https://my.zakupki.prom.ua/remote/dispatcher/state_purchase_view/34681024" TargetMode="External"/><Relationship Id="rId1075" Type="http://schemas.openxmlformats.org/officeDocument/2006/relationships/hyperlink" Target="https://my.zakupki.prom.ua/remote/dispatcher/state_purchase_view/34678748" TargetMode="External"/><Relationship Id="rId291" Type="http://schemas.openxmlformats.org/officeDocument/2006/relationships/hyperlink" Target="https://my.zakupki.prom.ua/remote/dispatcher/state_purchase_view/34692824" TargetMode="External"/><Relationship Id="rId305" Type="http://schemas.openxmlformats.org/officeDocument/2006/relationships/hyperlink" Target="https://my.zakupki.prom.ua/remote/dispatcher/state_purchase_view/34692530" TargetMode="External"/><Relationship Id="rId347" Type="http://schemas.openxmlformats.org/officeDocument/2006/relationships/hyperlink" Target="https://my.zakupki.prom.ua/remote/dispatcher/state_purchase_lot_view/740752" TargetMode="External"/><Relationship Id="rId512" Type="http://schemas.openxmlformats.org/officeDocument/2006/relationships/hyperlink" Target="https://my.zakupki.prom.ua/remote/dispatcher/state_purchase_view/34687287" TargetMode="External"/><Relationship Id="rId957" Type="http://schemas.openxmlformats.org/officeDocument/2006/relationships/hyperlink" Target="https://my.zakupki.prom.ua/remote/dispatcher/state_purchase_view/34679951" TargetMode="External"/><Relationship Id="rId999" Type="http://schemas.openxmlformats.org/officeDocument/2006/relationships/hyperlink" Target="https://my.zakupki.prom.ua/remote/dispatcher/state_purchase_view/34679536" TargetMode="External"/><Relationship Id="rId1100" Type="http://schemas.openxmlformats.org/officeDocument/2006/relationships/hyperlink" Target="https://my.zakupki.prom.ua/remote/dispatcher/state_purchase_lot_view/740578" TargetMode="External"/><Relationship Id="rId44" Type="http://schemas.openxmlformats.org/officeDocument/2006/relationships/hyperlink" Target="https://my.zakupki.prom.ua/remote/dispatcher/state_purchase_lot_view/740813" TargetMode="External"/><Relationship Id="rId86" Type="http://schemas.openxmlformats.org/officeDocument/2006/relationships/hyperlink" Target="https://my.zakupki.prom.ua/remote/dispatcher/state_purchase_view/34697113" TargetMode="External"/><Relationship Id="rId151" Type="http://schemas.openxmlformats.org/officeDocument/2006/relationships/hyperlink" Target="https://my.zakupki.prom.ua/remote/dispatcher/state_purchase_lot_view/740644" TargetMode="External"/><Relationship Id="rId389" Type="http://schemas.openxmlformats.org/officeDocument/2006/relationships/hyperlink" Target="https://my.zakupki.prom.ua/remote/dispatcher/state_purchase_view/34690195" TargetMode="External"/><Relationship Id="rId554" Type="http://schemas.openxmlformats.org/officeDocument/2006/relationships/hyperlink" Target="https://my.zakupki.prom.ua/remote/dispatcher/state_purchase_lot_view/740710" TargetMode="External"/><Relationship Id="rId596" Type="http://schemas.openxmlformats.org/officeDocument/2006/relationships/hyperlink" Target="https://my.zakupki.prom.ua/remote/dispatcher/state_purchase_lot_view/740698" TargetMode="External"/><Relationship Id="rId761" Type="http://schemas.openxmlformats.org/officeDocument/2006/relationships/hyperlink" Target="https://my.zakupki.prom.ua/remote/dispatcher/state_purchase_view/34684035" TargetMode="External"/><Relationship Id="rId817" Type="http://schemas.openxmlformats.org/officeDocument/2006/relationships/hyperlink" Target="https://my.zakupki.prom.ua/remote/dispatcher/state_purchase_view/34682878" TargetMode="External"/><Relationship Id="rId859" Type="http://schemas.openxmlformats.org/officeDocument/2006/relationships/hyperlink" Target="https://my.zakupki.prom.ua/remote/dispatcher/state_purchase_view/34682084" TargetMode="External"/><Relationship Id="rId1002" Type="http://schemas.openxmlformats.org/officeDocument/2006/relationships/hyperlink" Target="https://my.zakupki.prom.ua/remote/dispatcher/state_purchase_view/34679489" TargetMode="External"/><Relationship Id="rId193" Type="http://schemas.openxmlformats.org/officeDocument/2006/relationships/hyperlink" Target="https://my.zakupki.prom.ua/remote/dispatcher/state_purchase_view/34695022" TargetMode="External"/><Relationship Id="rId207" Type="http://schemas.openxmlformats.org/officeDocument/2006/relationships/hyperlink" Target="https://my.zakupki.prom.ua/remote/dispatcher/state_purchase_view/34693787" TargetMode="External"/><Relationship Id="rId249" Type="http://schemas.openxmlformats.org/officeDocument/2006/relationships/hyperlink" Target="https://my.zakupki.prom.ua/remote/dispatcher/state_purchase_view/34693599" TargetMode="External"/><Relationship Id="rId414" Type="http://schemas.openxmlformats.org/officeDocument/2006/relationships/hyperlink" Target="https://my.zakupki.prom.ua/remote/dispatcher/state_purchase_view/34690133" TargetMode="External"/><Relationship Id="rId456" Type="http://schemas.openxmlformats.org/officeDocument/2006/relationships/hyperlink" Target="https://my.zakupki.prom.ua/remote/dispatcher/state_purchase_view/34689161" TargetMode="External"/><Relationship Id="rId498" Type="http://schemas.openxmlformats.org/officeDocument/2006/relationships/hyperlink" Target="https://my.zakupki.prom.ua/remote/dispatcher/state_purchase_view/34688580" TargetMode="External"/><Relationship Id="rId621" Type="http://schemas.openxmlformats.org/officeDocument/2006/relationships/hyperlink" Target="https://my.zakupki.prom.ua/remote/dispatcher/state_purchase_view/34686767" TargetMode="External"/><Relationship Id="rId663" Type="http://schemas.openxmlformats.org/officeDocument/2006/relationships/hyperlink" Target="https://my.zakupki.prom.ua/remote/dispatcher/state_purchase_lot_view/740680" TargetMode="External"/><Relationship Id="rId870" Type="http://schemas.openxmlformats.org/officeDocument/2006/relationships/hyperlink" Target="https://my.zakupki.prom.ua/remote/dispatcher/state_purchase_view/34681713" TargetMode="External"/><Relationship Id="rId1044" Type="http://schemas.openxmlformats.org/officeDocument/2006/relationships/hyperlink" Target="https://my.zakupki.prom.ua/remote/dispatcher/state_purchase_lot_view/740617" TargetMode="External"/><Relationship Id="rId1086" Type="http://schemas.openxmlformats.org/officeDocument/2006/relationships/hyperlink" Target="https://my.zakupki.prom.ua/remote/dispatcher/state_purchase_lot_view/740602" TargetMode="External"/><Relationship Id="rId13" Type="http://schemas.openxmlformats.org/officeDocument/2006/relationships/hyperlink" Target="https://my.zakupki.prom.ua/remote/dispatcher/state_purchase_view/34697714" TargetMode="External"/><Relationship Id="rId109" Type="http://schemas.openxmlformats.org/officeDocument/2006/relationships/hyperlink" Target="https://my.zakupki.prom.ua/remote/dispatcher/state_purchase_view/34696437" TargetMode="External"/><Relationship Id="rId260" Type="http://schemas.openxmlformats.org/officeDocument/2006/relationships/hyperlink" Target="https://my.zakupki.prom.ua/remote/dispatcher/state_purchase_view/34693495" TargetMode="External"/><Relationship Id="rId316" Type="http://schemas.openxmlformats.org/officeDocument/2006/relationships/hyperlink" Target="https://my.zakupki.prom.ua/remote/dispatcher/state_purchase_lot_view/740755" TargetMode="External"/><Relationship Id="rId523" Type="http://schemas.openxmlformats.org/officeDocument/2006/relationships/hyperlink" Target="https://my.zakupki.prom.ua/remote/dispatcher/state_purchase_view/34688288" TargetMode="External"/><Relationship Id="rId719" Type="http://schemas.openxmlformats.org/officeDocument/2006/relationships/hyperlink" Target="https://my.zakupki.prom.ua/remote/dispatcher/state_purchase_view/34684903" TargetMode="External"/><Relationship Id="rId926" Type="http://schemas.openxmlformats.org/officeDocument/2006/relationships/hyperlink" Target="https://my.zakupki.prom.ua/remote/dispatcher/state_purchase_view/34680881" TargetMode="External"/><Relationship Id="rId968" Type="http://schemas.openxmlformats.org/officeDocument/2006/relationships/hyperlink" Target="https://my.zakupki.prom.ua/remote/dispatcher/state_purchase_view/34679870" TargetMode="External"/><Relationship Id="rId1111" Type="http://schemas.openxmlformats.org/officeDocument/2006/relationships/hyperlink" Target="https://my.zakupki.prom.ua/remote/dispatcher/state_purchase_view/34678712" TargetMode="External"/><Relationship Id="rId55" Type="http://schemas.openxmlformats.org/officeDocument/2006/relationships/hyperlink" Target="https://my.zakupki.prom.ua/remote/dispatcher/state_purchase_view/34697280" TargetMode="External"/><Relationship Id="rId97" Type="http://schemas.openxmlformats.org/officeDocument/2006/relationships/hyperlink" Target="https://my.zakupki.prom.ua/remote/dispatcher/state_purchase_view/34696540" TargetMode="External"/><Relationship Id="rId120" Type="http://schemas.openxmlformats.org/officeDocument/2006/relationships/hyperlink" Target="https://my.zakupki.prom.ua/remote/dispatcher/state_purchase_view/34696122" TargetMode="External"/><Relationship Id="rId358" Type="http://schemas.openxmlformats.org/officeDocument/2006/relationships/hyperlink" Target="https://my.zakupki.prom.ua/remote/dispatcher/state_purchase_view/34691093" TargetMode="External"/><Relationship Id="rId565" Type="http://schemas.openxmlformats.org/officeDocument/2006/relationships/hyperlink" Target="https://my.zakupki.prom.ua/remote/dispatcher/state_purchase_view/34687799" TargetMode="External"/><Relationship Id="rId730" Type="http://schemas.openxmlformats.org/officeDocument/2006/relationships/hyperlink" Target="https://my.zakupki.prom.ua/remote/dispatcher/state_purchase_view/34684659" TargetMode="External"/><Relationship Id="rId772" Type="http://schemas.openxmlformats.org/officeDocument/2006/relationships/hyperlink" Target="https://my.zakupki.prom.ua/remote/dispatcher/state_purchase_view/34683845" TargetMode="External"/><Relationship Id="rId828" Type="http://schemas.openxmlformats.org/officeDocument/2006/relationships/hyperlink" Target="https://my.zakupki.prom.ua/remote/dispatcher/state_purchase_view/34682655" TargetMode="External"/><Relationship Id="rId1013" Type="http://schemas.openxmlformats.org/officeDocument/2006/relationships/hyperlink" Target="https://my.zakupki.prom.ua/remote/dispatcher/state_purchase_view/34679387" TargetMode="External"/><Relationship Id="rId162" Type="http://schemas.openxmlformats.org/officeDocument/2006/relationships/hyperlink" Target="https://my.zakupki.prom.ua/remote/dispatcher/state_purchase_view/34695555" TargetMode="External"/><Relationship Id="rId218" Type="http://schemas.openxmlformats.org/officeDocument/2006/relationships/hyperlink" Target="https://my.zakupki.prom.ua/remote/dispatcher/state_purchase_view/34694332" TargetMode="External"/><Relationship Id="rId425" Type="http://schemas.openxmlformats.org/officeDocument/2006/relationships/hyperlink" Target="https://my.zakupki.prom.ua/remote/dispatcher/state_purchase_view/34689818" TargetMode="External"/><Relationship Id="rId467" Type="http://schemas.openxmlformats.org/officeDocument/2006/relationships/hyperlink" Target="https://my.zakupki.prom.ua/remote/dispatcher/state_purchase_view/34689082" TargetMode="External"/><Relationship Id="rId632" Type="http://schemas.openxmlformats.org/officeDocument/2006/relationships/hyperlink" Target="https://my.zakupki.prom.ua/remote/dispatcher/state_purchase_view/34686501" TargetMode="External"/><Relationship Id="rId1055" Type="http://schemas.openxmlformats.org/officeDocument/2006/relationships/hyperlink" Target="https://my.zakupki.prom.ua/remote/dispatcher/state_purchase_view/34678938" TargetMode="External"/><Relationship Id="rId1097" Type="http://schemas.openxmlformats.org/officeDocument/2006/relationships/hyperlink" Target="https://my.zakupki.prom.ua/remote/dispatcher/state_purchase_view/34678671" TargetMode="External"/><Relationship Id="rId271" Type="http://schemas.openxmlformats.org/officeDocument/2006/relationships/hyperlink" Target="https://my.zakupki.prom.ua/remote/dispatcher/state_purchase_view/34692713" TargetMode="External"/><Relationship Id="rId674" Type="http://schemas.openxmlformats.org/officeDocument/2006/relationships/hyperlink" Target="https://my.zakupki.prom.ua/remote/dispatcher/state_purchase_view/34685717" TargetMode="External"/><Relationship Id="rId881" Type="http://schemas.openxmlformats.org/officeDocument/2006/relationships/hyperlink" Target="https://my.zakupki.prom.ua/remote/dispatcher/state_purchase_view/34681382" TargetMode="External"/><Relationship Id="rId937" Type="http://schemas.openxmlformats.org/officeDocument/2006/relationships/hyperlink" Target="https://my.zakupki.prom.ua/remote/dispatcher/state_purchase_view/34680810" TargetMode="External"/><Relationship Id="rId979" Type="http://schemas.openxmlformats.org/officeDocument/2006/relationships/hyperlink" Target="https://my.zakupki.prom.ua/remote/dispatcher/state_purchase_view/34679811" TargetMode="External"/><Relationship Id="rId1122" Type="http://schemas.openxmlformats.org/officeDocument/2006/relationships/hyperlink" Target="https://my.zakupki.prom.ua/remote/dispatcher/state_purchase_view/34678248" TargetMode="External"/><Relationship Id="rId24" Type="http://schemas.openxmlformats.org/officeDocument/2006/relationships/hyperlink" Target="https://my.zakupki.prom.ua/remote/dispatcher/state_purchase_view/34697646" TargetMode="External"/><Relationship Id="rId66" Type="http://schemas.openxmlformats.org/officeDocument/2006/relationships/hyperlink" Target="https://my.zakupki.prom.ua/remote/dispatcher/state_purchase_view/34697212" TargetMode="External"/><Relationship Id="rId131" Type="http://schemas.openxmlformats.org/officeDocument/2006/relationships/hyperlink" Target="https://my.zakupki.prom.ua/remote/dispatcher/state_purchase_view/34696151" TargetMode="External"/><Relationship Id="rId327" Type="http://schemas.openxmlformats.org/officeDocument/2006/relationships/hyperlink" Target="https://my.zakupki.prom.ua/remote/dispatcher/state_purchase_view/34692003" TargetMode="External"/><Relationship Id="rId369" Type="http://schemas.openxmlformats.org/officeDocument/2006/relationships/hyperlink" Target="https://my.zakupki.prom.ua/remote/dispatcher/state_purchase_view/34690870" TargetMode="External"/><Relationship Id="rId534" Type="http://schemas.openxmlformats.org/officeDocument/2006/relationships/hyperlink" Target="https://my.zakupki.prom.ua/remote/dispatcher/state_purchase_view/34688235" TargetMode="External"/><Relationship Id="rId576" Type="http://schemas.openxmlformats.org/officeDocument/2006/relationships/hyperlink" Target="https://my.zakupki.prom.ua/remote/dispatcher/state_purchase_view/34687627" TargetMode="External"/><Relationship Id="rId741" Type="http://schemas.openxmlformats.org/officeDocument/2006/relationships/hyperlink" Target="https://my.zakupki.prom.ua/remote/dispatcher/state_purchase_view/34684280" TargetMode="External"/><Relationship Id="rId783" Type="http://schemas.openxmlformats.org/officeDocument/2006/relationships/hyperlink" Target="https://my.zakupki.prom.ua/remote/dispatcher/state_purchase_view/34683398" TargetMode="External"/><Relationship Id="rId839" Type="http://schemas.openxmlformats.org/officeDocument/2006/relationships/hyperlink" Target="https://my.zakupki.prom.ua/remote/dispatcher/state_purchase_lot_view/740447" TargetMode="External"/><Relationship Id="rId990" Type="http://schemas.openxmlformats.org/officeDocument/2006/relationships/hyperlink" Target="https://my.zakupki.prom.ua/remote/dispatcher/state_purchase_view/34679732" TargetMode="External"/><Relationship Id="rId173" Type="http://schemas.openxmlformats.org/officeDocument/2006/relationships/hyperlink" Target="https://my.zakupki.prom.ua/remote/dispatcher/state_purchase_view/34695474" TargetMode="External"/><Relationship Id="rId229" Type="http://schemas.openxmlformats.org/officeDocument/2006/relationships/hyperlink" Target="https://my.zakupki.prom.ua/remote/dispatcher/state_purchase_view/34694212" TargetMode="External"/><Relationship Id="rId380" Type="http://schemas.openxmlformats.org/officeDocument/2006/relationships/hyperlink" Target="https://my.zakupki.prom.ua/remote/dispatcher/state_purchase_view/34690650" TargetMode="External"/><Relationship Id="rId436" Type="http://schemas.openxmlformats.org/officeDocument/2006/relationships/hyperlink" Target="https://my.zakupki.prom.ua/remote/dispatcher/state_purchase_view/34689637" TargetMode="External"/><Relationship Id="rId601" Type="http://schemas.openxmlformats.org/officeDocument/2006/relationships/hyperlink" Target="https://my.zakupki.prom.ua/remote/dispatcher/state_purchase_lot_view/740703" TargetMode="External"/><Relationship Id="rId643" Type="http://schemas.openxmlformats.org/officeDocument/2006/relationships/hyperlink" Target="https://my.zakupki.prom.ua/remote/dispatcher/state_purchase_view/34686306" TargetMode="External"/><Relationship Id="rId1024" Type="http://schemas.openxmlformats.org/officeDocument/2006/relationships/hyperlink" Target="https://my.zakupki.prom.ua/remote/dispatcher/state_purchase_lot_view/740620" TargetMode="External"/><Relationship Id="rId1066" Type="http://schemas.openxmlformats.org/officeDocument/2006/relationships/hyperlink" Target="https://my.zakupki.prom.ua/remote/dispatcher/state_purchase_view/34678864" TargetMode="External"/><Relationship Id="rId240" Type="http://schemas.openxmlformats.org/officeDocument/2006/relationships/hyperlink" Target="https://my.zakupki.prom.ua/remote/dispatcher/state_purchase_view/34693715" TargetMode="External"/><Relationship Id="rId478" Type="http://schemas.openxmlformats.org/officeDocument/2006/relationships/hyperlink" Target="https://my.zakupki.prom.ua/remote/dispatcher/state_purchase_view/34688867" TargetMode="External"/><Relationship Id="rId685" Type="http://schemas.openxmlformats.org/officeDocument/2006/relationships/hyperlink" Target="https://my.zakupki.prom.ua/remote/dispatcher/state_purchase_view/34685629" TargetMode="External"/><Relationship Id="rId850" Type="http://schemas.openxmlformats.org/officeDocument/2006/relationships/hyperlink" Target="https://my.zakupki.prom.ua/remote/dispatcher/state_purchase_lot_view/740647" TargetMode="External"/><Relationship Id="rId892" Type="http://schemas.openxmlformats.org/officeDocument/2006/relationships/hyperlink" Target="https://my.zakupki.prom.ua/remote/dispatcher/state_purchase_view/34681297" TargetMode="External"/><Relationship Id="rId906" Type="http://schemas.openxmlformats.org/officeDocument/2006/relationships/hyperlink" Target="https://my.zakupki.prom.ua/remote/dispatcher/state_purchase_view/34681178" TargetMode="External"/><Relationship Id="rId948" Type="http://schemas.openxmlformats.org/officeDocument/2006/relationships/hyperlink" Target="https://my.zakupki.prom.ua/remote/dispatcher/state_purchase_view/34679935" TargetMode="External"/><Relationship Id="rId1133" Type="http://schemas.openxmlformats.org/officeDocument/2006/relationships/hyperlink" Target="https://my.zakupki.prom.ua/remote/dispatcher/state_purchase_view/34678137" TargetMode="External"/><Relationship Id="rId35" Type="http://schemas.openxmlformats.org/officeDocument/2006/relationships/hyperlink" Target="https://my.zakupki.prom.ua/remote/dispatcher/state_purchase_view/34697393" TargetMode="External"/><Relationship Id="rId77" Type="http://schemas.openxmlformats.org/officeDocument/2006/relationships/hyperlink" Target="https://my.zakupki.prom.ua/remote/dispatcher/state_purchase_lot_view/740796" TargetMode="External"/><Relationship Id="rId100" Type="http://schemas.openxmlformats.org/officeDocument/2006/relationships/hyperlink" Target="https://my.zakupki.prom.ua/remote/dispatcher/state_purchase_view/34696510" TargetMode="External"/><Relationship Id="rId282" Type="http://schemas.openxmlformats.org/officeDocument/2006/relationships/hyperlink" Target="https://my.zakupki.prom.ua/remote/dispatcher/state_purchase_view/34692958" TargetMode="External"/><Relationship Id="rId338" Type="http://schemas.openxmlformats.org/officeDocument/2006/relationships/hyperlink" Target="https://my.zakupki.prom.ua/remote/dispatcher/state_purchase_view/34691707" TargetMode="External"/><Relationship Id="rId503" Type="http://schemas.openxmlformats.org/officeDocument/2006/relationships/hyperlink" Target="https://my.zakupki.prom.ua/remote/dispatcher/state_purchase_view/34688519" TargetMode="External"/><Relationship Id="rId545" Type="http://schemas.openxmlformats.org/officeDocument/2006/relationships/hyperlink" Target="https://my.zakupki.prom.ua/remote/dispatcher/state_purchase_lot_view/740690" TargetMode="External"/><Relationship Id="rId587" Type="http://schemas.openxmlformats.org/officeDocument/2006/relationships/hyperlink" Target="https://my.zakupki.prom.ua/remote/dispatcher/state_purchase_view/34687286" TargetMode="External"/><Relationship Id="rId710" Type="http://schemas.openxmlformats.org/officeDocument/2006/relationships/hyperlink" Target="https://my.zakupki.prom.ua/remote/dispatcher/state_purchase_view/34685078" TargetMode="External"/><Relationship Id="rId752" Type="http://schemas.openxmlformats.org/officeDocument/2006/relationships/hyperlink" Target="https://my.zakupki.prom.ua/remote/dispatcher/state_purchase_view/34684136" TargetMode="External"/><Relationship Id="rId808" Type="http://schemas.openxmlformats.org/officeDocument/2006/relationships/hyperlink" Target="https://my.zakupki.prom.ua/remote/dispatcher/state_purchase_view/34682989" TargetMode="External"/><Relationship Id="rId8" Type="http://schemas.openxmlformats.org/officeDocument/2006/relationships/hyperlink" Target="https://my.zakupki.prom.ua/remote/dispatcher/state_purchase_view/34697750" TargetMode="External"/><Relationship Id="rId142" Type="http://schemas.openxmlformats.org/officeDocument/2006/relationships/hyperlink" Target="https://my.zakupki.prom.ua/remote/dispatcher/state_purchase_view/34695872" TargetMode="External"/><Relationship Id="rId184" Type="http://schemas.openxmlformats.org/officeDocument/2006/relationships/hyperlink" Target="https://my.zakupki.prom.ua/remote/dispatcher/state_purchase_view/34695244" TargetMode="External"/><Relationship Id="rId391" Type="http://schemas.openxmlformats.org/officeDocument/2006/relationships/hyperlink" Target="https://my.zakupki.prom.ua/remote/dispatcher/state_purchase_view/34690356" TargetMode="External"/><Relationship Id="rId405" Type="http://schemas.openxmlformats.org/officeDocument/2006/relationships/hyperlink" Target="https://my.zakupki.prom.ua/remote/dispatcher/state_purchase_view/34690238" TargetMode="External"/><Relationship Id="rId447" Type="http://schemas.openxmlformats.org/officeDocument/2006/relationships/hyperlink" Target="https://my.zakupki.prom.ua/remote/dispatcher/state_purchase_view/34689295" TargetMode="External"/><Relationship Id="rId612" Type="http://schemas.openxmlformats.org/officeDocument/2006/relationships/hyperlink" Target="https://my.zakupki.prom.ua/remote/dispatcher/state_purchase_view/34687149" TargetMode="External"/><Relationship Id="rId794" Type="http://schemas.openxmlformats.org/officeDocument/2006/relationships/hyperlink" Target="https://my.zakupki.prom.ua/remote/dispatcher/state_purchase_view/34683271" TargetMode="External"/><Relationship Id="rId1035" Type="http://schemas.openxmlformats.org/officeDocument/2006/relationships/hyperlink" Target="https://my.zakupki.prom.ua/remote/dispatcher/state_purchase_view/34679061" TargetMode="External"/><Relationship Id="rId1077" Type="http://schemas.openxmlformats.org/officeDocument/2006/relationships/hyperlink" Target="https://my.zakupki.prom.ua/remote/dispatcher/state_purchase_lot_view/740593" TargetMode="External"/><Relationship Id="rId251" Type="http://schemas.openxmlformats.org/officeDocument/2006/relationships/hyperlink" Target="https://my.zakupki.prom.ua/remote/dispatcher/state_purchase_view/34693588" TargetMode="External"/><Relationship Id="rId489" Type="http://schemas.openxmlformats.org/officeDocument/2006/relationships/hyperlink" Target="https://my.zakupki.prom.ua/remote/dispatcher/state_purchase_view/34688661" TargetMode="External"/><Relationship Id="rId654" Type="http://schemas.openxmlformats.org/officeDocument/2006/relationships/hyperlink" Target="https://my.zakupki.prom.ua/remote/dispatcher/state_purchase_view/34685922" TargetMode="External"/><Relationship Id="rId696" Type="http://schemas.openxmlformats.org/officeDocument/2006/relationships/hyperlink" Target="https://my.zakupki.prom.ua/remote/dispatcher/state_purchase_lot_view/740670" TargetMode="External"/><Relationship Id="rId861" Type="http://schemas.openxmlformats.org/officeDocument/2006/relationships/hyperlink" Target="https://my.zakupki.prom.ua/remote/dispatcher/state_purchase_view/34682073" TargetMode="External"/><Relationship Id="rId917" Type="http://schemas.openxmlformats.org/officeDocument/2006/relationships/hyperlink" Target="https://my.zakupki.prom.ua/remote/dispatcher/state_purchase_view/34680969" TargetMode="External"/><Relationship Id="rId959" Type="http://schemas.openxmlformats.org/officeDocument/2006/relationships/hyperlink" Target="https://my.zakupki.prom.ua/remote/dispatcher/state_purchase_view/34679917" TargetMode="External"/><Relationship Id="rId1102" Type="http://schemas.openxmlformats.org/officeDocument/2006/relationships/hyperlink" Target="https://my.zakupki.prom.ua/remote/dispatcher/state_purchase_lot_view/740580" TargetMode="External"/><Relationship Id="rId46" Type="http://schemas.openxmlformats.org/officeDocument/2006/relationships/hyperlink" Target="https://my.zakupki.prom.ua/remote/dispatcher/state_purchase_lot_view/740815" TargetMode="External"/><Relationship Id="rId293" Type="http://schemas.openxmlformats.org/officeDocument/2006/relationships/hyperlink" Target="https://my.zakupki.prom.ua/remote/dispatcher/state_purchase_view/34692803" TargetMode="External"/><Relationship Id="rId307" Type="http://schemas.openxmlformats.org/officeDocument/2006/relationships/hyperlink" Target="https://my.zakupki.prom.ua/remote/dispatcher/state_purchase_view/34692511" TargetMode="External"/><Relationship Id="rId349" Type="http://schemas.openxmlformats.org/officeDocument/2006/relationships/hyperlink" Target="https://my.zakupki.prom.ua/remote/dispatcher/state_purchase_view/34691254" TargetMode="External"/><Relationship Id="rId514" Type="http://schemas.openxmlformats.org/officeDocument/2006/relationships/hyperlink" Target="https://my.zakupki.prom.ua/remote/dispatcher/state_purchase_view/34688405" TargetMode="External"/><Relationship Id="rId556" Type="http://schemas.openxmlformats.org/officeDocument/2006/relationships/hyperlink" Target="https://my.zakupki.prom.ua/remote/dispatcher/state_purchase_lot_view/740712" TargetMode="External"/><Relationship Id="rId721" Type="http://schemas.openxmlformats.org/officeDocument/2006/relationships/hyperlink" Target="https://my.zakupki.prom.ua/remote/dispatcher/state_purchase_view/34684796" TargetMode="External"/><Relationship Id="rId763" Type="http://schemas.openxmlformats.org/officeDocument/2006/relationships/hyperlink" Target="https://my.zakupki.prom.ua/remote/dispatcher/state_purchase_view/34684002" TargetMode="External"/><Relationship Id="rId88" Type="http://schemas.openxmlformats.org/officeDocument/2006/relationships/hyperlink" Target="https://my.zakupki.prom.ua/remote/dispatcher/state_purchase_view/34696689" TargetMode="External"/><Relationship Id="rId111" Type="http://schemas.openxmlformats.org/officeDocument/2006/relationships/hyperlink" Target="https://my.zakupki.prom.ua/remote/dispatcher/state_purchase_view/34696431" TargetMode="External"/><Relationship Id="rId153" Type="http://schemas.openxmlformats.org/officeDocument/2006/relationships/hyperlink" Target="https://my.zakupki.prom.ua/remote/dispatcher/state_purchase_view/34695048" TargetMode="External"/><Relationship Id="rId195" Type="http://schemas.openxmlformats.org/officeDocument/2006/relationships/hyperlink" Target="https://my.zakupki.prom.ua/remote/dispatcher/state_purchase_view/34695004" TargetMode="External"/><Relationship Id="rId209" Type="http://schemas.openxmlformats.org/officeDocument/2006/relationships/hyperlink" Target="https://my.zakupki.prom.ua/remote/dispatcher/state_purchase_view/34694579" TargetMode="External"/><Relationship Id="rId360" Type="http://schemas.openxmlformats.org/officeDocument/2006/relationships/hyperlink" Target="https://my.zakupki.prom.ua/remote/dispatcher/state_purchase_view/34691064" TargetMode="External"/><Relationship Id="rId416" Type="http://schemas.openxmlformats.org/officeDocument/2006/relationships/hyperlink" Target="https://my.zakupki.prom.ua/remote/dispatcher/state_purchase_view/34689934" TargetMode="External"/><Relationship Id="rId598" Type="http://schemas.openxmlformats.org/officeDocument/2006/relationships/hyperlink" Target="https://my.zakupki.prom.ua/remote/dispatcher/state_purchase_lot_view/740700" TargetMode="External"/><Relationship Id="rId819" Type="http://schemas.openxmlformats.org/officeDocument/2006/relationships/hyperlink" Target="https://my.zakupki.prom.ua/remote/dispatcher/state_purchase_view/34682871" TargetMode="External"/><Relationship Id="rId970" Type="http://schemas.openxmlformats.org/officeDocument/2006/relationships/hyperlink" Target="https://my.zakupki.prom.ua/remote/dispatcher/state_purchase_view/34679862" TargetMode="External"/><Relationship Id="rId1004" Type="http://schemas.openxmlformats.org/officeDocument/2006/relationships/hyperlink" Target="https://my.zakupki.prom.ua/remote/dispatcher/state_purchase_view/34679467" TargetMode="External"/><Relationship Id="rId1046" Type="http://schemas.openxmlformats.org/officeDocument/2006/relationships/hyperlink" Target="https://my.zakupki.prom.ua/remote/dispatcher/state_purchase_view/34679015" TargetMode="External"/><Relationship Id="rId220" Type="http://schemas.openxmlformats.org/officeDocument/2006/relationships/hyperlink" Target="https://my.zakupki.prom.ua/remote/dispatcher/state_purchase_view/34694323" TargetMode="External"/><Relationship Id="rId458" Type="http://schemas.openxmlformats.org/officeDocument/2006/relationships/hyperlink" Target="https://my.zakupki.prom.ua/remote/dispatcher/state_purchase_view/34689147" TargetMode="External"/><Relationship Id="rId623" Type="http://schemas.openxmlformats.org/officeDocument/2006/relationships/hyperlink" Target="https://my.zakupki.prom.ua/remote/dispatcher/state_purchase_view/34686735" TargetMode="External"/><Relationship Id="rId665" Type="http://schemas.openxmlformats.org/officeDocument/2006/relationships/hyperlink" Target="https://my.zakupki.prom.ua/remote/dispatcher/state_purchase_lot_view/740682" TargetMode="External"/><Relationship Id="rId830" Type="http://schemas.openxmlformats.org/officeDocument/2006/relationships/hyperlink" Target="https://my.zakupki.prom.ua/remote/dispatcher/state_purchase_view/34682440" TargetMode="External"/><Relationship Id="rId872" Type="http://schemas.openxmlformats.org/officeDocument/2006/relationships/hyperlink" Target="https://my.zakupki.prom.ua/remote/dispatcher/state_purchase_view/34675331" TargetMode="External"/><Relationship Id="rId928" Type="http://schemas.openxmlformats.org/officeDocument/2006/relationships/hyperlink" Target="https://my.zakupki.prom.ua/remote/dispatcher/state_purchase_view/34680865" TargetMode="External"/><Relationship Id="rId1088" Type="http://schemas.openxmlformats.org/officeDocument/2006/relationships/hyperlink" Target="https://my.zakupki.prom.ua/remote/dispatcher/state_purchase_lot_view/740604" TargetMode="External"/><Relationship Id="rId15" Type="http://schemas.openxmlformats.org/officeDocument/2006/relationships/hyperlink" Target="https://my.zakupki.prom.ua/remote/dispatcher/state_purchase_view/34697708" TargetMode="External"/><Relationship Id="rId57" Type="http://schemas.openxmlformats.org/officeDocument/2006/relationships/hyperlink" Target="https://my.zakupki.prom.ua/remote/dispatcher/state_purchase_view/34697260" TargetMode="External"/><Relationship Id="rId262" Type="http://schemas.openxmlformats.org/officeDocument/2006/relationships/hyperlink" Target="https://my.zakupki.prom.ua/remote/dispatcher/state_purchase_view/34693430" TargetMode="External"/><Relationship Id="rId318" Type="http://schemas.openxmlformats.org/officeDocument/2006/relationships/hyperlink" Target="https://my.zakupki.prom.ua/remote/dispatcher/state_purchase_view/34692158" TargetMode="External"/><Relationship Id="rId525" Type="http://schemas.openxmlformats.org/officeDocument/2006/relationships/hyperlink" Target="https://my.zakupki.prom.ua/remote/dispatcher/state_purchase_view/34688277" TargetMode="External"/><Relationship Id="rId567" Type="http://schemas.openxmlformats.org/officeDocument/2006/relationships/hyperlink" Target="https://my.zakupki.prom.ua/remote/dispatcher/state_purchase_view/34687785" TargetMode="External"/><Relationship Id="rId732" Type="http://schemas.openxmlformats.org/officeDocument/2006/relationships/hyperlink" Target="https://my.zakupki.prom.ua/remote/dispatcher/state_purchase_view/34684472" TargetMode="External"/><Relationship Id="rId1113" Type="http://schemas.openxmlformats.org/officeDocument/2006/relationships/hyperlink" Target="https://my.zakupki.prom.ua/remote/dispatcher/state_purchase_view/34678699" TargetMode="External"/><Relationship Id="rId99" Type="http://schemas.openxmlformats.org/officeDocument/2006/relationships/hyperlink" Target="https://my.zakupki.prom.ua/remote/dispatcher/state_purchase_view/34696516" TargetMode="External"/><Relationship Id="rId122" Type="http://schemas.openxmlformats.org/officeDocument/2006/relationships/hyperlink" Target="https://my.zakupki.prom.ua/remote/dispatcher/state_purchase_view/34696009" TargetMode="External"/><Relationship Id="rId164" Type="http://schemas.openxmlformats.org/officeDocument/2006/relationships/hyperlink" Target="https://my.zakupki.prom.ua/remote/dispatcher/state_purchase_lot_view/740785" TargetMode="External"/><Relationship Id="rId371" Type="http://schemas.openxmlformats.org/officeDocument/2006/relationships/hyperlink" Target="https://my.zakupki.prom.ua/remote/dispatcher/state_purchase_view/34690840" TargetMode="External"/><Relationship Id="rId774" Type="http://schemas.openxmlformats.org/officeDocument/2006/relationships/hyperlink" Target="https://my.zakupki.prom.ua/remote/dispatcher/state_purchase_view/34683137" TargetMode="External"/><Relationship Id="rId981" Type="http://schemas.openxmlformats.org/officeDocument/2006/relationships/hyperlink" Target="https://my.zakupki.prom.ua/remote/dispatcher/state_purchase_view/34679788" TargetMode="External"/><Relationship Id="rId1015" Type="http://schemas.openxmlformats.org/officeDocument/2006/relationships/hyperlink" Target="https://my.zakupki.prom.ua/remote/dispatcher/state_purchase_view/34679386" TargetMode="External"/><Relationship Id="rId1057" Type="http://schemas.openxmlformats.org/officeDocument/2006/relationships/hyperlink" Target="https://my.zakupki.prom.ua/remote/dispatcher/state_purchase_view/34678928" TargetMode="External"/><Relationship Id="rId427" Type="http://schemas.openxmlformats.org/officeDocument/2006/relationships/hyperlink" Target="https://my.zakupki.prom.ua/remote/dispatcher/state_purchase_view/34689807" TargetMode="External"/><Relationship Id="rId469" Type="http://schemas.openxmlformats.org/officeDocument/2006/relationships/hyperlink" Target="https://my.zakupki.prom.ua/remote/dispatcher/state_purchase_view/34689043" TargetMode="External"/><Relationship Id="rId634" Type="http://schemas.openxmlformats.org/officeDocument/2006/relationships/hyperlink" Target="https://my.zakupki.prom.ua/remote/dispatcher/state_purchase_view/34686482" TargetMode="External"/><Relationship Id="rId676" Type="http://schemas.openxmlformats.org/officeDocument/2006/relationships/hyperlink" Target="https://my.zakupki.prom.ua/remote/dispatcher/state_purchase_view/34685694" TargetMode="External"/><Relationship Id="rId841" Type="http://schemas.openxmlformats.org/officeDocument/2006/relationships/hyperlink" Target="https://my.zakupki.prom.ua/remote/dispatcher/state_purchase_lot_view/740650" TargetMode="External"/><Relationship Id="rId883" Type="http://schemas.openxmlformats.org/officeDocument/2006/relationships/hyperlink" Target="https://my.zakupki.prom.ua/remote/dispatcher/state_purchase_view/34681372" TargetMode="External"/><Relationship Id="rId1099" Type="http://schemas.openxmlformats.org/officeDocument/2006/relationships/hyperlink" Target="https://my.zakupki.prom.ua/remote/dispatcher/state_purchase_lot_view/740577" TargetMode="External"/><Relationship Id="rId26" Type="http://schemas.openxmlformats.org/officeDocument/2006/relationships/hyperlink" Target="https://my.zakupki.prom.ua/remote/dispatcher/state_purchase_view/34697570" TargetMode="External"/><Relationship Id="rId231" Type="http://schemas.openxmlformats.org/officeDocument/2006/relationships/hyperlink" Target="https://my.zakupki.prom.ua/remote/dispatcher/state_purchase_view/34694179" TargetMode="External"/><Relationship Id="rId273" Type="http://schemas.openxmlformats.org/officeDocument/2006/relationships/hyperlink" Target="https://my.zakupki.prom.ua/remote/dispatcher/state_purchase_view/34693165" TargetMode="External"/><Relationship Id="rId329" Type="http://schemas.openxmlformats.org/officeDocument/2006/relationships/hyperlink" Target="https://my.zakupki.prom.ua/remote/dispatcher/state_purchase_view/34691923" TargetMode="External"/><Relationship Id="rId480" Type="http://schemas.openxmlformats.org/officeDocument/2006/relationships/hyperlink" Target="https://my.zakupki.prom.ua/remote/dispatcher/state_purchase_lot_view/740727" TargetMode="External"/><Relationship Id="rId536" Type="http://schemas.openxmlformats.org/officeDocument/2006/relationships/hyperlink" Target="https://my.zakupki.prom.ua/remote/dispatcher/state_purchase_lot_view/740720" TargetMode="External"/><Relationship Id="rId701" Type="http://schemas.openxmlformats.org/officeDocument/2006/relationships/hyperlink" Target="https://my.zakupki.prom.ua/remote/dispatcher/state_purchase_view/34685188" TargetMode="External"/><Relationship Id="rId939" Type="http://schemas.openxmlformats.org/officeDocument/2006/relationships/hyperlink" Target="https://my.zakupki.prom.ua/remote/dispatcher/state_purchase_view/34680792" TargetMode="External"/><Relationship Id="rId1124" Type="http://schemas.openxmlformats.org/officeDocument/2006/relationships/hyperlink" Target="https://my.zakupki.prom.ua/remote/dispatcher/state_purchase_view/34678211" TargetMode="External"/><Relationship Id="rId68" Type="http://schemas.openxmlformats.org/officeDocument/2006/relationships/hyperlink" Target="https://my.zakupki.prom.ua/remote/dispatcher/state_purchase_view/34697200" TargetMode="External"/><Relationship Id="rId133" Type="http://schemas.openxmlformats.org/officeDocument/2006/relationships/hyperlink" Target="https://my.zakupki.prom.ua/remote/dispatcher/state_purchase_view/34696139" TargetMode="External"/><Relationship Id="rId175" Type="http://schemas.openxmlformats.org/officeDocument/2006/relationships/hyperlink" Target="https://my.zakupki.prom.ua/remote/dispatcher/state_purchase_lot_view/740782" TargetMode="External"/><Relationship Id="rId340" Type="http://schemas.openxmlformats.org/officeDocument/2006/relationships/hyperlink" Target="https://my.zakupki.prom.ua/remote/dispatcher/state_purchase_view/34691687" TargetMode="External"/><Relationship Id="rId578" Type="http://schemas.openxmlformats.org/officeDocument/2006/relationships/hyperlink" Target="https://my.zakupki.prom.ua/remote/dispatcher/state_purchase_view/34687590" TargetMode="External"/><Relationship Id="rId743" Type="http://schemas.openxmlformats.org/officeDocument/2006/relationships/hyperlink" Target="https://my.zakupki.prom.ua/remote/dispatcher/state_purchase_view/34684259" TargetMode="External"/><Relationship Id="rId785" Type="http://schemas.openxmlformats.org/officeDocument/2006/relationships/hyperlink" Target="https://my.zakupki.prom.ua/remote/dispatcher/state_purchase_view/34683376" TargetMode="External"/><Relationship Id="rId950" Type="http://schemas.openxmlformats.org/officeDocument/2006/relationships/hyperlink" Target="https://my.zakupki.prom.ua/remote/dispatcher/state_purchase_view/34680121" TargetMode="External"/><Relationship Id="rId992" Type="http://schemas.openxmlformats.org/officeDocument/2006/relationships/hyperlink" Target="https://my.zakupki.prom.ua/remote/dispatcher/state_purchase_view/34679710" TargetMode="External"/><Relationship Id="rId1026" Type="http://schemas.openxmlformats.org/officeDocument/2006/relationships/hyperlink" Target="https://my.zakupki.prom.ua/remote/dispatcher/state_purchase_view/34679327" TargetMode="External"/><Relationship Id="rId200" Type="http://schemas.openxmlformats.org/officeDocument/2006/relationships/hyperlink" Target="https://my.zakupki.prom.ua/remote/dispatcher/state_purchase_view/34694977" TargetMode="External"/><Relationship Id="rId382" Type="http://schemas.openxmlformats.org/officeDocument/2006/relationships/hyperlink" Target="https://my.zakupki.prom.ua/remote/dispatcher/state_purchase_view/34690533" TargetMode="External"/><Relationship Id="rId438" Type="http://schemas.openxmlformats.org/officeDocument/2006/relationships/hyperlink" Target="https://my.zakupki.prom.ua/remote/dispatcher/state_purchase_lot_view/740737" TargetMode="External"/><Relationship Id="rId603" Type="http://schemas.openxmlformats.org/officeDocument/2006/relationships/hyperlink" Target="https://my.zakupki.prom.ua/remote/dispatcher/state_purchase_view/34687210" TargetMode="External"/><Relationship Id="rId645" Type="http://schemas.openxmlformats.org/officeDocument/2006/relationships/hyperlink" Target="https://my.zakupki.prom.ua/remote/dispatcher/state_purchase_view/34686065" TargetMode="External"/><Relationship Id="rId687" Type="http://schemas.openxmlformats.org/officeDocument/2006/relationships/hyperlink" Target="https://my.zakupki.prom.ua/remote/dispatcher/state_purchase_view/34685625" TargetMode="External"/><Relationship Id="rId810" Type="http://schemas.openxmlformats.org/officeDocument/2006/relationships/hyperlink" Target="https://my.zakupki.prom.ua/remote/dispatcher/state_purchase_view/34682935" TargetMode="External"/><Relationship Id="rId852" Type="http://schemas.openxmlformats.org/officeDocument/2006/relationships/hyperlink" Target="https://my.zakupki.prom.ua/remote/dispatcher/state_purchase_view/34682188" TargetMode="External"/><Relationship Id="rId908" Type="http://schemas.openxmlformats.org/officeDocument/2006/relationships/hyperlink" Target="https://my.zakupki.prom.ua/remote/dispatcher/state_purchase_lot_view/740632" TargetMode="External"/><Relationship Id="rId1068" Type="http://schemas.openxmlformats.org/officeDocument/2006/relationships/hyperlink" Target="https://my.zakupki.prom.ua/remote/dispatcher/state_purchase_view/34678824" TargetMode="External"/><Relationship Id="rId242" Type="http://schemas.openxmlformats.org/officeDocument/2006/relationships/hyperlink" Target="https://my.zakupki.prom.ua/remote/dispatcher/state_purchase_view/34693646" TargetMode="External"/><Relationship Id="rId284" Type="http://schemas.openxmlformats.org/officeDocument/2006/relationships/hyperlink" Target="https://my.zakupki.prom.ua/remote/dispatcher/state_purchase_view/34692918" TargetMode="External"/><Relationship Id="rId491" Type="http://schemas.openxmlformats.org/officeDocument/2006/relationships/hyperlink" Target="https://my.zakupki.prom.ua/remote/dispatcher/state_purchase_lot_view/740725" TargetMode="External"/><Relationship Id="rId505" Type="http://schemas.openxmlformats.org/officeDocument/2006/relationships/hyperlink" Target="https://my.zakupki.prom.ua/remote/dispatcher/state_purchase_view/34688513" TargetMode="External"/><Relationship Id="rId712" Type="http://schemas.openxmlformats.org/officeDocument/2006/relationships/hyperlink" Target="https://my.zakupki.prom.ua/remote/dispatcher/state_purchase_view/34685009" TargetMode="External"/><Relationship Id="rId894" Type="http://schemas.openxmlformats.org/officeDocument/2006/relationships/hyperlink" Target="https://my.zakupki.prom.ua/remote/dispatcher/state_purchase_view/34681283" TargetMode="External"/><Relationship Id="rId1135" Type="http://schemas.openxmlformats.org/officeDocument/2006/relationships/hyperlink" Target="https://my.zakupki.prom.ua/remote/dispatcher/state_purchase_view/34678133" TargetMode="External"/><Relationship Id="rId37" Type="http://schemas.openxmlformats.org/officeDocument/2006/relationships/hyperlink" Target="https://my.zakupki.prom.ua/remote/dispatcher/state_purchase_view/34697361" TargetMode="External"/><Relationship Id="rId79" Type="http://schemas.openxmlformats.org/officeDocument/2006/relationships/hyperlink" Target="https://my.zakupki.prom.ua/remote/dispatcher/state_purchase_lot_view/740798" TargetMode="External"/><Relationship Id="rId102" Type="http://schemas.openxmlformats.org/officeDocument/2006/relationships/hyperlink" Target="https://my.zakupki.prom.ua/remote/dispatcher/state_purchase_view/34696502" TargetMode="External"/><Relationship Id="rId144" Type="http://schemas.openxmlformats.org/officeDocument/2006/relationships/hyperlink" Target="https://my.zakupki.prom.ua/remote/dispatcher/state_purchase_view/34695835" TargetMode="External"/><Relationship Id="rId547" Type="http://schemas.openxmlformats.org/officeDocument/2006/relationships/hyperlink" Target="https://my.zakupki.prom.ua/remote/dispatcher/state_purchase_view/34686346" TargetMode="External"/><Relationship Id="rId589" Type="http://schemas.openxmlformats.org/officeDocument/2006/relationships/hyperlink" Target="https://my.zakupki.prom.ua/remote/dispatcher/state_purchase_view/34687231" TargetMode="External"/><Relationship Id="rId754" Type="http://schemas.openxmlformats.org/officeDocument/2006/relationships/hyperlink" Target="https://my.zakupki.prom.ua/remote/dispatcher/state_purchase_view/34684110" TargetMode="External"/><Relationship Id="rId796" Type="http://schemas.openxmlformats.org/officeDocument/2006/relationships/hyperlink" Target="https://my.zakupki.prom.ua/remote/dispatcher/state_purchase_view/34681012" TargetMode="External"/><Relationship Id="rId961" Type="http://schemas.openxmlformats.org/officeDocument/2006/relationships/hyperlink" Target="https://my.zakupki.prom.ua/remote/dispatcher/state_purchase_view/34679908" TargetMode="External"/><Relationship Id="rId90" Type="http://schemas.openxmlformats.org/officeDocument/2006/relationships/hyperlink" Target="https://my.zakupki.prom.ua/remote/dispatcher/state_purchase_view/34695701" TargetMode="External"/><Relationship Id="rId186" Type="http://schemas.openxmlformats.org/officeDocument/2006/relationships/hyperlink" Target="https://my.zakupki.prom.ua/remote/dispatcher/state_purchase_view/34695079" TargetMode="External"/><Relationship Id="rId351" Type="http://schemas.openxmlformats.org/officeDocument/2006/relationships/hyperlink" Target="https://my.zakupki.prom.ua/remote/dispatcher/state_purchase_view/34691229" TargetMode="External"/><Relationship Id="rId393" Type="http://schemas.openxmlformats.org/officeDocument/2006/relationships/hyperlink" Target="https://my.zakupki.prom.ua/remote/dispatcher/state_purchase_view/34690349" TargetMode="External"/><Relationship Id="rId407" Type="http://schemas.openxmlformats.org/officeDocument/2006/relationships/hyperlink" Target="https://my.zakupki.prom.ua/remote/dispatcher/state_purchase_view/34690208" TargetMode="External"/><Relationship Id="rId449" Type="http://schemas.openxmlformats.org/officeDocument/2006/relationships/hyperlink" Target="https://my.zakupki.prom.ua/remote/dispatcher/state_purchase_view/34689308" TargetMode="External"/><Relationship Id="rId614" Type="http://schemas.openxmlformats.org/officeDocument/2006/relationships/hyperlink" Target="https://my.zakupki.prom.ua/remote/dispatcher/state_purchase_view/34687069" TargetMode="External"/><Relationship Id="rId656" Type="http://schemas.openxmlformats.org/officeDocument/2006/relationships/hyperlink" Target="https://my.zakupki.prom.ua/remote/dispatcher/state_purchase_lot_view/740673" TargetMode="External"/><Relationship Id="rId821" Type="http://schemas.openxmlformats.org/officeDocument/2006/relationships/hyperlink" Target="https://my.zakupki.prom.ua/remote/dispatcher/state_purchase_view/34682867" TargetMode="External"/><Relationship Id="rId863" Type="http://schemas.openxmlformats.org/officeDocument/2006/relationships/hyperlink" Target="https://my.zakupki.prom.ua/remote/dispatcher/state_purchase_view/34682021" TargetMode="External"/><Relationship Id="rId1037" Type="http://schemas.openxmlformats.org/officeDocument/2006/relationships/hyperlink" Target="https://my.zakupki.prom.ua/remote/dispatcher/state_purchase_view/34679049" TargetMode="External"/><Relationship Id="rId1079" Type="http://schemas.openxmlformats.org/officeDocument/2006/relationships/hyperlink" Target="https://my.zakupki.prom.ua/remote/dispatcher/state_purchase_lot_view/740595" TargetMode="External"/><Relationship Id="rId211" Type="http://schemas.openxmlformats.org/officeDocument/2006/relationships/hyperlink" Target="https://my.zakupki.prom.ua/remote/dispatcher/state_purchase_view/34694536" TargetMode="External"/><Relationship Id="rId253" Type="http://schemas.openxmlformats.org/officeDocument/2006/relationships/hyperlink" Target="https://my.zakupki.prom.ua/remote/dispatcher/state_purchase_view/34693573" TargetMode="External"/><Relationship Id="rId295" Type="http://schemas.openxmlformats.org/officeDocument/2006/relationships/hyperlink" Target="https://my.zakupki.prom.ua/remote/dispatcher/state_purchase_view/34692783" TargetMode="External"/><Relationship Id="rId309" Type="http://schemas.openxmlformats.org/officeDocument/2006/relationships/hyperlink" Target="https://my.zakupki.prom.ua/remote/dispatcher/state_purchase_lot_view/740758" TargetMode="External"/><Relationship Id="rId460" Type="http://schemas.openxmlformats.org/officeDocument/2006/relationships/hyperlink" Target="https://my.zakupki.prom.ua/remote/dispatcher/state_purchase_lot_view/740728" TargetMode="External"/><Relationship Id="rId516" Type="http://schemas.openxmlformats.org/officeDocument/2006/relationships/hyperlink" Target="https://my.zakupki.prom.ua/remote/dispatcher/state_purchase_view/34688362" TargetMode="External"/><Relationship Id="rId698" Type="http://schemas.openxmlformats.org/officeDocument/2006/relationships/hyperlink" Target="https://my.zakupki.prom.ua/remote/dispatcher/state_purchase_lot_view/740672" TargetMode="External"/><Relationship Id="rId919" Type="http://schemas.openxmlformats.org/officeDocument/2006/relationships/hyperlink" Target="https://my.zakupki.prom.ua/remote/dispatcher/state_purchase_view/34680956" TargetMode="External"/><Relationship Id="rId1090" Type="http://schemas.openxmlformats.org/officeDocument/2006/relationships/hyperlink" Target="https://my.zakupki.prom.ua/remote/dispatcher/state_purchase_lot_view/740606" TargetMode="External"/><Relationship Id="rId1104" Type="http://schemas.openxmlformats.org/officeDocument/2006/relationships/hyperlink" Target="https://my.zakupki.prom.ua/remote/dispatcher/state_purchase_lot_view/740582" TargetMode="External"/><Relationship Id="rId48" Type="http://schemas.openxmlformats.org/officeDocument/2006/relationships/hyperlink" Target="https://my.zakupki.prom.ua/remote/dispatcher/state_purchase_lot_view/740817" TargetMode="External"/><Relationship Id="rId113" Type="http://schemas.openxmlformats.org/officeDocument/2006/relationships/hyperlink" Target="https://my.zakupki.prom.ua/remote/dispatcher/state_purchase_view/34696421" TargetMode="External"/><Relationship Id="rId320" Type="http://schemas.openxmlformats.org/officeDocument/2006/relationships/hyperlink" Target="https://my.zakupki.prom.ua/remote/dispatcher/state_purchase_view/34692089" TargetMode="External"/><Relationship Id="rId558" Type="http://schemas.openxmlformats.org/officeDocument/2006/relationships/hyperlink" Target="https://my.zakupki.prom.ua/remote/dispatcher/state_purchase_lot_view/740714" TargetMode="External"/><Relationship Id="rId723" Type="http://schemas.openxmlformats.org/officeDocument/2006/relationships/hyperlink" Target="https://my.zakupki.prom.ua/remote/dispatcher/state_purchase_view/34684789" TargetMode="External"/><Relationship Id="rId765" Type="http://schemas.openxmlformats.org/officeDocument/2006/relationships/hyperlink" Target="https://my.zakupki.prom.ua/remote/dispatcher/state_purchase_view/34683956" TargetMode="External"/><Relationship Id="rId930" Type="http://schemas.openxmlformats.org/officeDocument/2006/relationships/hyperlink" Target="https://my.zakupki.prom.ua/remote/dispatcher/state_purchase_view/34680843" TargetMode="External"/><Relationship Id="rId972" Type="http://schemas.openxmlformats.org/officeDocument/2006/relationships/hyperlink" Target="https://my.zakupki.prom.ua/remote/dispatcher/state_purchase_view/34679850" TargetMode="External"/><Relationship Id="rId1006" Type="http://schemas.openxmlformats.org/officeDocument/2006/relationships/hyperlink" Target="https://my.zakupki.prom.ua/remote/dispatcher/state_purchase_view/34679453" TargetMode="External"/><Relationship Id="rId155" Type="http://schemas.openxmlformats.org/officeDocument/2006/relationships/hyperlink" Target="https://my.zakupki.prom.ua/remote/dispatcher/state_purchase_view/34695674" TargetMode="External"/><Relationship Id="rId197" Type="http://schemas.openxmlformats.org/officeDocument/2006/relationships/hyperlink" Target="https://my.zakupki.prom.ua/remote/dispatcher/state_purchase_view/34695002" TargetMode="External"/><Relationship Id="rId362" Type="http://schemas.openxmlformats.org/officeDocument/2006/relationships/hyperlink" Target="https://my.zakupki.prom.ua/remote/dispatcher/state_purchase_view/34639533" TargetMode="External"/><Relationship Id="rId418" Type="http://schemas.openxmlformats.org/officeDocument/2006/relationships/hyperlink" Target="https://my.zakupki.prom.ua/remote/dispatcher/state_purchase_view/34689889" TargetMode="External"/><Relationship Id="rId625" Type="http://schemas.openxmlformats.org/officeDocument/2006/relationships/hyperlink" Target="https://my.zakupki.prom.ua/remote/dispatcher/state_purchase_view/34686702" TargetMode="External"/><Relationship Id="rId832" Type="http://schemas.openxmlformats.org/officeDocument/2006/relationships/hyperlink" Target="https://my.zakupki.prom.ua/remote/dispatcher/state_purchase_view/34682423" TargetMode="External"/><Relationship Id="rId1048" Type="http://schemas.openxmlformats.org/officeDocument/2006/relationships/hyperlink" Target="https://my.zakupki.prom.ua/remote/dispatcher/state_purchase_view/34678997" TargetMode="External"/><Relationship Id="rId222" Type="http://schemas.openxmlformats.org/officeDocument/2006/relationships/hyperlink" Target="https://my.zakupki.prom.ua/remote/dispatcher/state_purchase_view/34694291" TargetMode="External"/><Relationship Id="rId264" Type="http://schemas.openxmlformats.org/officeDocument/2006/relationships/hyperlink" Target="https://my.zakupki.prom.ua/remote/dispatcher/state_purchase_view/34693410" TargetMode="External"/><Relationship Id="rId471" Type="http://schemas.openxmlformats.org/officeDocument/2006/relationships/hyperlink" Target="https://my.zakupki.prom.ua/remote/dispatcher/state_purchase_lot_view/740466" TargetMode="External"/><Relationship Id="rId667" Type="http://schemas.openxmlformats.org/officeDocument/2006/relationships/hyperlink" Target="https://my.zakupki.prom.ua/remote/dispatcher/state_purchase_view/34685847" TargetMode="External"/><Relationship Id="rId874" Type="http://schemas.openxmlformats.org/officeDocument/2006/relationships/hyperlink" Target="https://my.zakupki.prom.ua/remote/dispatcher/state_purchase_view/34681510" TargetMode="External"/><Relationship Id="rId1115" Type="http://schemas.openxmlformats.org/officeDocument/2006/relationships/hyperlink" Target="https://my.zakupki.prom.ua/remote/dispatcher/state_purchase_view/34678572" TargetMode="External"/><Relationship Id="rId17" Type="http://schemas.openxmlformats.org/officeDocument/2006/relationships/hyperlink" Target="https://my.zakupki.prom.ua/remote/dispatcher/state_purchase_view/34697688" TargetMode="External"/><Relationship Id="rId59" Type="http://schemas.openxmlformats.org/officeDocument/2006/relationships/hyperlink" Target="https://my.zakupki.prom.ua/remote/dispatcher/state_purchase_lot_view/740807" TargetMode="External"/><Relationship Id="rId124" Type="http://schemas.openxmlformats.org/officeDocument/2006/relationships/hyperlink" Target="https://my.zakupki.prom.ua/remote/dispatcher/state_purchase_view/34696283" TargetMode="External"/><Relationship Id="rId527" Type="http://schemas.openxmlformats.org/officeDocument/2006/relationships/hyperlink" Target="https://my.zakupki.prom.ua/remote/dispatcher/state_purchase_lot_view/740722" TargetMode="External"/><Relationship Id="rId569" Type="http://schemas.openxmlformats.org/officeDocument/2006/relationships/hyperlink" Target="https://my.zakupki.prom.ua/remote/dispatcher/state_purchase_view/34687769" TargetMode="External"/><Relationship Id="rId734" Type="http://schemas.openxmlformats.org/officeDocument/2006/relationships/hyperlink" Target="https://my.zakupki.prom.ua/remote/dispatcher/state_purchase_view/34684436" TargetMode="External"/><Relationship Id="rId776" Type="http://schemas.openxmlformats.org/officeDocument/2006/relationships/hyperlink" Target="https://my.zakupki.prom.ua/remote/dispatcher/state_purchase_view/34683495" TargetMode="External"/><Relationship Id="rId941" Type="http://schemas.openxmlformats.org/officeDocument/2006/relationships/hyperlink" Target="https://my.zakupki.prom.ua/remote/dispatcher/state_purchase_view/34680545" TargetMode="External"/><Relationship Id="rId983" Type="http://schemas.openxmlformats.org/officeDocument/2006/relationships/hyperlink" Target="https://my.zakupki.prom.ua/remote/dispatcher/state_purchase_view/34679779" TargetMode="External"/><Relationship Id="rId70" Type="http://schemas.openxmlformats.org/officeDocument/2006/relationships/hyperlink" Target="https://my.zakupki.prom.ua/remote/dispatcher/state_purchase_view/34697182" TargetMode="External"/><Relationship Id="rId166" Type="http://schemas.openxmlformats.org/officeDocument/2006/relationships/hyperlink" Target="https://my.zakupki.prom.ua/remote/dispatcher/state_purchase_view/34695528" TargetMode="External"/><Relationship Id="rId331" Type="http://schemas.openxmlformats.org/officeDocument/2006/relationships/hyperlink" Target="https://my.zakupki.prom.ua/remote/dispatcher/state_purchase_view/34691906" TargetMode="External"/><Relationship Id="rId373" Type="http://schemas.openxmlformats.org/officeDocument/2006/relationships/hyperlink" Target="https://my.zakupki.prom.ua/remote/dispatcher/state_purchase_view/34690800" TargetMode="External"/><Relationship Id="rId429" Type="http://schemas.openxmlformats.org/officeDocument/2006/relationships/hyperlink" Target="https://my.zakupki.prom.ua/remote/dispatcher/state_purchase_view/34689769" TargetMode="External"/><Relationship Id="rId580" Type="http://schemas.openxmlformats.org/officeDocument/2006/relationships/hyperlink" Target="https://my.zakupki.prom.ua/remote/dispatcher/state_purchase_view/34687551" TargetMode="External"/><Relationship Id="rId636" Type="http://schemas.openxmlformats.org/officeDocument/2006/relationships/hyperlink" Target="https://my.zakupki.prom.ua/remote/dispatcher/state_purchase_view/34686433" TargetMode="External"/><Relationship Id="rId801" Type="http://schemas.openxmlformats.org/officeDocument/2006/relationships/hyperlink" Target="https://my.zakupki.prom.ua/remote/dispatcher/state_purchase_view/34683114" TargetMode="External"/><Relationship Id="rId1017" Type="http://schemas.openxmlformats.org/officeDocument/2006/relationships/hyperlink" Target="https://my.zakupki.prom.ua/remote/dispatcher/state_purchase_view/34679381" TargetMode="External"/><Relationship Id="rId1059" Type="http://schemas.openxmlformats.org/officeDocument/2006/relationships/hyperlink" Target="https://my.zakupki.prom.ua/remote/dispatcher/state_purchase_view/34678923" TargetMode="External"/><Relationship Id="rId1" Type="http://schemas.openxmlformats.org/officeDocument/2006/relationships/hyperlink" Target="mailto:report.zakupki@prom.ua" TargetMode="External"/><Relationship Id="rId233" Type="http://schemas.openxmlformats.org/officeDocument/2006/relationships/hyperlink" Target="https://my.zakupki.prom.ua/remote/dispatcher/state_purchase_view/34694144" TargetMode="External"/><Relationship Id="rId440" Type="http://schemas.openxmlformats.org/officeDocument/2006/relationships/hyperlink" Target="https://my.zakupki.prom.ua/remote/dispatcher/state_purchase_view/34689620" TargetMode="External"/><Relationship Id="rId678" Type="http://schemas.openxmlformats.org/officeDocument/2006/relationships/hyperlink" Target="https://my.zakupki.prom.ua/remote/dispatcher/state_purchase_view/34685652" TargetMode="External"/><Relationship Id="rId843" Type="http://schemas.openxmlformats.org/officeDocument/2006/relationships/hyperlink" Target="https://my.zakupki.prom.ua/remote/dispatcher/state_purchase_lot_view/740652" TargetMode="External"/><Relationship Id="rId885" Type="http://schemas.openxmlformats.org/officeDocument/2006/relationships/hyperlink" Target="https://my.zakupki.prom.ua/remote/dispatcher/state_purchase_view/34681354" TargetMode="External"/><Relationship Id="rId1070" Type="http://schemas.openxmlformats.org/officeDocument/2006/relationships/hyperlink" Target="https://my.zakupki.prom.ua/remote/dispatcher/state_purchase_view/34678812" TargetMode="External"/><Relationship Id="rId1126" Type="http://schemas.openxmlformats.org/officeDocument/2006/relationships/hyperlink" Target="https://my.zakupki.prom.ua/remote/dispatcher/state_purchase_lot_view/740565" TargetMode="External"/><Relationship Id="rId28" Type="http://schemas.openxmlformats.org/officeDocument/2006/relationships/hyperlink" Target="https://my.zakupki.prom.ua/remote/dispatcher/state_purchase_view/34697546" TargetMode="External"/><Relationship Id="rId275" Type="http://schemas.openxmlformats.org/officeDocument/2006/relationships/hyperlink" Target="https://my.zakupki.prom.ua/remote/dispatcher/state_purchase_view/34693135" TargetMode="External"/><Relationship Id="rId300" Type="http://schemas.openxmlformats.org/officeDocument/2006/relationships/hyperlink" Target="https://my.zakupki.prom.ua/remote/dispatcher/state_purchase_view/34692688" TargetMode="External"/><Relationship Id="rId482" Type="http://schemas.openxmlformats.org/officeDocument/2006/relationships/hyperlink" Target="https://my.zakupki.prom.ua/remote/dispatcher/state_purchase_lot_view/740726" TargetMode="External"/><Relationship Id="rId538" Type="http://schemas.openxmlformats.org/officeDocument/2006/relationships/hyperlink" Target="https://my.zakupki.prom.ua/remote/dispatcher/state_purchase_view/34688187" TargetMode="External"/><Relationship Id="rId703" Type="http://schemas.openxmlformats.org/officeDocument/2006/relationships/hyperlink" Target="https://my.zakupki.prom.ua/remote/dispatcher/state_purchase_view/34685185" TargetMode="External"/><Relationship Id="rId745" Type="http://schemas.openxmlformats.org/officeDocument/2006/relationships/hyperlink" Target="https://my.zakupki.prom.ua/remote/dispatcher/state_purchase_view/34684215" TargetMode="External"/><Relationship Id="rId910" Type="http://schemas.openxmlformats.org/officeDocument/2006/relationships/hyperlink" Target="https://my.zakupki.prom.ua/remote/dispatcher/state_purchase_view/34681156" TargetMode="External"/><Relationship Id="rId952" Type="http://schemas.openxmlformats.org/officeDocument/2006/relationships/hyperlink" Target="https://my.zakupki.prom.ua/remote/dispatcher/state_purchase_view/34680113" TargetMode="External"/><Relationship Id="rId81" Type="http://schemas.openxmlformats.org/officeDocument/2006/relationships/hyperlink" Target="https://my.zakupki.prom.ua/remote/dispatcher/state_purchase_lot_view/740800" TargetMode="External"/><Relationship Id="rId135" Type="http://schemas.openxmlformats.org/officeDocument/2006/relationships/hyperlink" Target="https://my.zakupki.prom.ua/remote/dispatcher/state_purchase_view/34696129" TargetMode="External"/><Relationship Id="rId177" Type="http://schemas.openxmlformats.org/officeDocument/2006/relationships/hyperlink" Target="https://my.zakupki.prom.ua/remote/dispatcher/state_purchase_view/34695444" TargetMode="External"/><Relationship Id="rId342" Type="http://schemas.openxmlformats.org/officeDocument/2006/relationships/hyperlink" Target="https://my.zakupki.prom.ua/remote/dispatcher/state_purchase_view/34691659" TargetMode="External"/><Relationship Id="rId384" Type="http://schemas.openxmlformats.org/officeDocument/2006/relationships/hyperlink" Target="https://my.zakupki.prom.ua/remote/dispatcher/state_purchase_view/34690194" TargetMode="External"/><Relationship Id="rId591" Type="http://schemas.openxmlformats.org/officeDocument/2006/relationships/hyperlink" Target="https://my.zakupki.prom.ua/remote/dispatcher/state_purchase_lot_view/740705" TargetMode="External"/><Relationship Id="rId605" Type="http://schemas.openxmlformats.org/officeDocument/2006/relationships/hyperlink" Target="https://my.zakupki.prom.ua/remote/dispatcher/state_purchase_view/34687208" TargetMode="External"/><Relationship Id="rId787" Type="http://schemas.openxmlformats.org/officeDocument/2006/relationships/hyperlink" Target="https://my.zakupki.prom.ua/remote/dispatcher/state_purchase_view/34683349" TargetMode="External"/><Relationship Id="rId812" Type="http://schemas.openxmlformats.org/officeDocument/2006/relationships/hyperlink" Target="https://my.zakupki.prom.ua/remote/dispatcher/state_purchase_lot_view/740653" TargetMode="External"/><Relationship Id="rId994" Type="http://schemas.openxmlformats.org/officeDocument/2006/relationships/hyperlink" Target="https://my.zakupki.prom.ua/remote/dispatcher/state_purchase_view/34679659" TargetMode="External"/><Relationship Id="rId1028" Type="http://schemas.openxmlformats.org/officeDocument/2006/relationships/hyperlink" Target="https://my.zakupki.prom.ua/remote/dispatcher/state_purchase_view/34679301" TargetMode="External"/><Relationship Id="rId202" Type="http://schemas.openxmlformats.org/officeDocument/2006/relationships/hyperlink" Target="https://my.zakupki.prom.ua/remote/dispatcher/state_purchase_view/34694955" TargetMode="External"/><Relationship Id="rId244" Type="http://schemas.openxmlformats.org/officeDocument/2006/relationships/hyperlink" Target="https://my.zakupki.prom.ua/remote/dispatcher/state_purchase_view/34693671" TargetMode="External"/><Relationship Id="rId647" Type="http://schemas.openxmlformats.org/officeDocument/2006/relationships/hyperlink" Target="https://my.zakupki.prom.ua/remote/dispatcher/state_purchase_view/34686047" TargetMode="External"/><Relationship Id="rId689" Type="http://schemas.openxmlformats.org/officeDocument/2006/relationships/hyperlink" Target="https://my.zakupki.prom.ua/remote/dispatcher/state_purchase_view/34685613" TargetMode="External"/><Relationship Id="rId854" Type="http://schemas.openxmlformats.org/officeDocument/2006/relationships/hyperlink" Target="https://my.zakupki.prom.ua/remote/dispatcher/state_purchase_view/34682144" TargetMode="External"/><Relationship Id="rId896" Type="http://schemas.openxmlformats.org/officeDocument/2006/relationships/hyperlink" Target="https://my.zakupki.prom.ua/remote/dispatcher/state_purchase_lot_view/740633" TargetMode="External"/><Relationship Id="rId1081" Type="http://schemas.openxmlformats.org/officeDocument/2006/relationships/hyperlink" Target="https://my.zakupki.prom.ua/remote/dispatcher/state_purchase_lot_view/740597" TargetMode="External"/><Relationship Id="rId39" Type="http://schemas.openxmlformats.org/officeDocument/2006/relationships/hyperlink" Target="https://my.zakupki.prom.ua/remote/dispatcher/state_purchase_lot_view/740808" TargetMode="External"/><Relationship Id="rId286" Type="http://schemas.openxmlformats.org/officeDocument/2006/relationships/hyperlink" Target="https://my.zakupki.prom.ua/remote/dispatcher/state_purchase_view/34692870" TargetMode="External"/><Relationship Id="rId451" Type="http://schemas.openxmlformats.org/officeDocument/2006/relationships/hyperlink" Target="https://my.zakupki.prom.ua/remote/dispatcher/state_purchase_view/34689258" TargetMode="External"/><Relationship Id="rId493" Type="http://schemas.openxmlformats.org/officeDocument/2006/relationships/hyperlink" Target="https://my.zakupki.prom.ua/remote/dispatcher/state_purchase_view/34688622" TargetMode="External"/><Relationship Id="rId507" Type="http://schemas.openxmlformats.org/officeDocument/2006/relationships/hyperlink" Target="https://my.zakupki.prom.ua/remote/dispatcher/state_purchase_view/34688491" TargetMode="External"/><Relationship Id="rId549" Type="http://schemas.openxmlformats.org/officeDocument/2006/relationships/hyperlink" Target="https://my.zakupki.prom.ua/remote/dispatcher/state_purchase_view/34687843" TargetMode="External"/><Relationship Id="rId714" Type="http://schemas.openxmlformats.org/officeDocument/2006/relationships/hyperlink" Target="https://my.zakupki.prom.ua/remote/dispatcher/state_purchase_view/34684954" TargetMode="External"/><Relationship Id="rId756" Type="http://schemas.openxmlformats.org/officeDocument/2006/relationships/hyperlink" Target="https://my.zakupki.prom.ua/remote/dispatcher/state_purchase_view/34684083" TargetMode="External"/><Relationship Id="rId921" Type="http://schemas.openxmlformats.org/officeDocument/2006/relationships/hyperlink" Target="https://my.zakupki.prom.ua/remote/dispatcher/state_purchase_view/34680920" TargetMode="External"/><Relationship Id="rId1137" Type="http://schemas.openxmlformats.org/officeDocument/2006/relationships/hyperlink" Target="https://my.zakupki.prom.ua/remote/dispatcher/state_purchase_view/34678062" TargetMode="External"/><Relationship Id="rId50" Type="http://schemas.openxmlformats.org/officeDocument/2006/relationships/hyperlink" Target="https://my.zakupki.prom.ua/remote/dispatcher/state_purchase_lot_view/740819" TargetMode="External"/><Relationship Id="rId104" Type="http://schemas.openxmlformats.org/officeDocument/2006/relationships/hyperlink" Target="https://my.zakupki.prom.ua/remote/dispatcher/state_purchase_view/34696483" TargetMode="External"/><Relationship Id="rId146" Type="http://schemas.openxmlformats.org/officeDocument/2006/relationships/hyperlink" Target="https://my.zakupki.prom.ua/remote/dispatcher/state_purchase_view/34695790" TargetMode="External"/><Relationship Id="rId188" Type="http://schemas.openxmlformats.org/officeDocument/2006/relationships/hyperlink" Target="https://my.zakupki.prom.ua/remote/dispatcher/state_purchase_view/34695065" TargetMode="External"/><Relationship Id="rId311" Type="http://schemas.openxmlformats.org/officeDocument/2006/relationships/hyperlink" Target="https://my.zakupki.prom.ua/remote/dispatcher/state_purchase_lot_view/740760" TargetMode="External"/><Relationship Id="rId353" Type="http://schemas.openxmlformats.org/officeDocument/2006/relationships/hyperlink" Target="https://my.zakupki.prom.ua/remote/dispatcher/state_purchase_view/34691163" TargetMode="External"/><Relationship Id="rId395" Type="http://schemas.openxmlformats.org/officeDocument/2006/relationships/hyperlink" Target="https://my.zakupki.prom.ua/remote/dispatcher/state_purchase_view/34690318" TargetMode="External"/><Relationship Id="rId409" Type="http://schemas.openxmlformats.org/officeDocument/2006/relationships/hyperlink" Target="https://my.zakupki.prom.ua/remote/dispatcher/state_purchase_view/34690182" TargetMode="External"/><Relationship Id="rId560" Type="http://schemas.openxmlformats.org/officeDocument/2006/relationships/hyperlink" Target="https://my.zakupki.prom.ua/remote/dispatcher/state_purchase_lot_view/740716" TargetMode="External"/><Relationship Id="rId798" Type="http://schemas.openxmlformats.org/officeDocument/2006/relationships/hyperlink" Target="https://my.zakupki.prom.ua/remote/dispatcher/state_purchase_view/34683230" TargetMode="External"/><Relationship Id="rId963" Type="http://schemas.openxmlformats.org/officeDocument/2006/relationships/hyperlink" Target="https://my.zakupki.prom.ua/remote/dispatcher/state_purchase_view/34679901" TargetMode="External"/><Relationship Id="rId1039" Type="http://schemas.openxmlformats.org/officeDocument/2006/relationships/hyperlink" Target="https://my.zakupki.prom.ua/remote/dispatcher/state_purchase_lot_view/740612" TargetMode="External"/><Relationship Id="rId92" Type="http://schemas.openxmlformats.org/officeDocument/2006/relationships/hyperlink" Target="https://my.zakupki.prom.ua/remote/dispatcher/state_purchase_view/34696613" TargetMode="External"/><Relationship Id="rId213" Type="http://schemas.openxmlformats.org/officeDocument/2006/relationships/hyperlink" Target="https://my.zakupki.prom.ua/remote/dispatcher/state_purchase_view/34694407" TargetMode="External"/><Relationship Id="rId420" Type="http://schemas.openxmlformats.org/officeDocument/2006/relationships/hyperlink" Target="https://my.zakupki.prom.ua/remote/dispatcher/state_purchase_lot_view/740741" TargetMode="External"/><Relationship Id="rId616" Type="http://schemas.openxmlformats.org/officeDocument/2006/relationships/hyperlink" Target="https://my.zakupki.prom.ua/remote/dispatcher/state_purchase_view/34687024" TargetMode="External"/><Relationship Id="rId658" Type="http://schemas.openxmlformats.org/officeDocument/2006/relationships/hyperlink" Target="https://my.zakupki.prom.ua/remote/dispatcher/state_purchase_lot_view/740675" TargetMode="External"/><Relationship Id="rId823" Type="http://schemas.openxmlformats.org/officeDocument/2006/relationships/hyperlink" Target="https://my.zakupki.prom.ua/remote/dispatcher/state_purchase_view/34682860" TargetMode="External"/><Relationship Id="rId865" Type="http://schemas.openxmlformats.org/officeDocument/2006/relationships/hyperlink" Target="https://my.zakupki.prom.ua/remote/dispatcher/state_purchase_view/34682008" TargetMode="External"/><Relationship Id="rId1050" Type="http://schemas.openxmlformats.org/officeDocument/2006/relationships/hyperlink" Target="https://my.zakupki.prom.ua/remote/dispatcher/state_purchase_view/34678978" TargetMode="External"/><Relationship Id="rId255" Type="http://schemas.openxmlformats.org/officeDocument/2006/relationships/hyperlink" Target="https://my.zakupki.prom.ua/remote/dispatcher/state_purchase_view/34693556" TargetMode="External"/><Relationship Id="rId297" Type="http://schemas.openxmlformats.org/officeDocument/2006/relationships/hyperlink" Target="https://my.zakupki.prom.ua/remote/dispatcher/state_purchase_view/34692782" TargetMode="External"/><Relationship Id="rId462" Type="http://schemas.openxmlformats.org/officeDocument/2006/relationships/hyperlink" Target="https://my.zakupki.prom.ua/remote/dispatcher/state_purchase_lot_view/740730" TargetMode="External"/><Relationship Id="rId518" Type="http://schemas.openxmlformats.org/officeDocument/2006/relationships/hyperlink" Target="https://my.zakupki.prom.ua/remote/dispatcher/state_purchase_view/34688353" TargetMode="External"/><Relationship Id="rId725" Type="http://schemas.openxmlformats.org/officeDocument/2006/relationships/hyperlink" Target="https://my.zakupki.prom.ua/remote/dispatcher/state_purchase_view/34684772" TargetMode="External"/><Relationship Id="rId932" Type="http://schemas.openxmlformats.org/officeDocument/2006/relationships/hyperlink" Target="https://my.zakupki.prom.ua/remote/dispatcher/state_purchase_view/34680836" TargetMode="External"/><Relationship Id="rId1092" Type="http://schemas.openxmlformats.org/officeDocument/2006/relationships/hyperlink" Target="https://my.zakupki.prom.ua/remote/dispatcher/state_purchase_lot_view/740608" TargetMode="External"/><Relationship Id="rId1106" Type="http://schemas.openxmlformats.org/officeDocument/2006/relationships/hyperlink" Target="https://my.zakupki.prom.ua/remote/dispatcher/state_purchase_lot_view/740584" TargetMode="External"/><Relationship Id="rId115" Type="http://schemas.openxmlformats.org/officeDocument/2006/relationships/hyperlink" Target="https://my.zakupki.prom.ua/remote/dispatcher/state_purchase_view/34696389" TargetMode="External"/><Relationship Id="rId157" Type="http://schemas.openxmlformats.org/officeDocument/2006/relationships/hyperlink" Target="https://my.zakupki.prom.ua/remote/dispatcher/state_purchase_view/34695629" TargetMode="External"/><Relationship Id="rId322" Type="http://schemas.openxmlformats.org/officeDocument/2006/relationships/hyperlink" Target="https://my.zakupki.prom.ua/remote/dispatcher/state_purchase_view/34691207" TargetMode="External"/><Relationship Id="rId364" Type="http://schemas.openxmlformats.org/officeDocument/2006/relationships/hyperlink" Target="https://my.zakupki.prom.ua/remote/dispatcher/state_purchase_view/34690441" TargetMode="External"/><Relationship Id="rId767" Type="http://schemas.openxmlformats.org/officeDocument/2006/relationships/hyperlink" Target="https://my.zakupki.prom.ua/remote/dispatcher/state_purchase_view/34683900" TargetMode="External"/><Relationship Id="rId974" Type="http://schemas.openxmlformats.org/officeDocument/2006/relationships/hyperlink" Target="https://my.zakupki.prom.ua/remote/dispatcher/state_purchase_view/34679842" TargetMode="External"/><Relationship Id="rId1008" Type="http://schemas.openxmlformats.org/officeDocument/2006/relationships/hyperlink" Target="https://my.zakupki.prom.ua/remote/dispatcher/state_purchase_view/34679439" TargetMode="External"/><Relationship Id="rId61" Type="http://schemas.openxmlformats.org/officeDocument/2006/relationships/hyperlink" Target="https://my.zakupki.prom.ua/remote/dispatcher/state_purchase_view/34697217" TargetMode="External"/><Relationship Id="rId199" Type="http://schemas.openxmlformats.org/officeDocument/2006/relationships/hyperlink" Target="https://my.zakupki.prom.ua/remote/dispatcher/state_purchase_view/34694979" TargetMode="External"/><Relationship Id="rId571" Type="http://schemas.openxmlformats.org/officeDocument/2006/relationships/hyperlink" Target="https://my.zakupki.prom.ua/remote/dispatcher/state_purchase_view/34687709" TargetMode="External"/><Relationship Id="rId627" Type="http://schemas.openxmlformats.org/officeDocument/2006/relationships/hyperlink" Target="https://my.zakupki.prom.ua/remote/dispatcher/state_purchase_view/34686687" TargetMode="External"/><Relationship Id="rId669" Type="http://schemas.openxmlformats.org/officeDocument/2006/relationships/hyperlink" Target="https://my.zakupki.prom.ua/remote/dispatcher/state_purchase_view/34685775" TargetMode="External"/><Relationship Id="rId834" Type="http://schemas.openxmlformats.org/officeDocument/2006/relationships/hyperlink" Target="https://my.zakupki.prom.ua/remote/dispatcher/state_purchase_view/34659478" TargetMode="External"/><Relationship Id="rId876" Type="http://schemas.openxmlformats.org/officeDocument/2006/relationships/hyperlink" Target="https://my.zakupki.prom.ua/remote/dispatcher/state_purchase_view/34681466" TargetMode="External"/><Relationship Id="rId19" Type="http://schemas.openxmlformats.org/officeDocument/2006/relationships/hyperlink" Target="https://my.zakupki.prom.ua/remote/dispatcher/state_purchase_view/34697675" TargetMode="External"/><Relationship Id="rId224" Type="http://schemas.openxmlformats.org/officeDocument/2006/relationships/hyperlink" Target="https://my.zakupki.prom.ua/remote/dispatcher/state_purchase_view/34694271" TargetMode="External"/><Relationship Id="rId266" Type="http://schemas.openxmlformats.org/officeDocument/2006/relationships/hyperlink" Target="https://my.zakupki.prom.ua/remote/dispatcher/state_purchase_view/34692792" TargetMode="External"/><Relationship Id="rId431" Type="http://schemas.openxmlformats.org/officeDocument/2006/relationships/hyperlink" Target="https://my.zakupki.prom.ua/remote/dispatcher/state_purchase_view/34689697" TargetMode="External"/><Relationship Id="rId473" Type="http://schemas.openxmlformats.org/officeDocument/2006/relationships/hyperlink" Target="https://my.zakupki.prom.ua/remote/dispatcher/state_purchase_view/34688986" TargetMode="External"/><Relationship Id="rId529" Type="http://schemas.openxmlformats.org/officeDocument/2006/relationships/hyperlink" Target="https://my.zakupki.prom.ua/remote/dispatcher/state_purchase_view/34688258" TargetMode="External"/><Relationship Id="rId680" Type="http://schemas.openxmlformats.org/officeDocument/2006/relationships/hyperlink" Target="https://my.zakupki.prom.ua/remote/dispatcher/state_purchase_view/34685642" TargetMode="External"/><Relationship Id="rId736" Type="http://schemas.openxmlformats.org/officeDocument/2006/relationships/hyperlink" Target="https://my.zakupki.prom.ua/remote/dispatcher/state_purchase_view/34684425" TargetMode="External"/><Relationship Id="rId901" Type="http://schemas.openxmlformats.org/officeDocument/2006/relationships/hyperlink" Target="https://my.zakupki.prom.ua/remote/dispatcher/state_purchase_lot_view/740638" TargetMode="External"/><Relationship Id="rId1061" Type="http://schemas.openxmlformats.org/officeDocument/2006/relationships/hyperlink" Target="https://my.zakupki.prom.ua/remote/dispatcher/state_purchase_view/34678914" TargetMode="External"/><Relationship Id="rId1117" Type="http://schemas.openxmlformats.org/officeDocument/2006/relationships/hyperlink" Target="https://my.zakupki.prom.ua/remote/dispatcher/state_purchase_view/34678484" TargetMode="External"/><Relationship Id="rId30" Type="http://schemas.openxmlformats.org/officeDocument/2006/relationships/hyperlink" Target="https://my.zakupki.prom.ua/remote/dispatcher/state_purchase_view/34697530" TargetMode="External"/><Relationship Id="rId126" Type="http://schemas.openxmlformats.org/officeDocument/2006/relationships/hyperlink" Target="https://my.zakupki.prom.ua/remote/dispatcher/state_purchase_view/34696224" TargetMode="External"/><Relationship Id="rId168" Type="http://schemas.openxmlformats.org/officeDocument/2006/relationships/hyperlink" Target="https://my.zakupki.prom.ua/remote/dispatcher/state_purchase_view/34695508" TargetMode="External"/><Relationship Id="rId333" Type="http://schemas.openxmlformats.org/officeDocument/2006/relationships/hyperlink" Target="https://my.zakupki.prom.ua/remote/dispatcher/state_purchase_view/34691798" TargetMode="External"/><Relationship Id="rId540" Type="http://schemas.openxmlformats.org/officeDocument/2006/relationships/hyperlink" Target="https://my.zakupki.prom.ua/remote/dispatcher/state_purchase_view/34688169" TargetMode="External"/><Relationship Id="rId778" Type="http://schemas.openxmlformats.org/officeDocument/2006/relationships/hyperlink" Target="https://my.zakupki.prom.ua/remote/dispatcher/state_purchase_view/34683457" TargetMode="External"/><Relationship Id="rId943" Type="http://schemas.openxmlformats.org/officeDocument/2006/relationships/hyperlink" Target="https://my.zakupki.prom.ua/remote/dispatcher/state_purchase_view/34680425" TargetMode="External"/><Relationship Id="rId985" Type="http://schemas.openxmlformats.org/officeDocument/2006/relationships/hyperlink" Target="https://my.zakupki.prom.ua/remote/dispatcher/state_purchase_view/34679765" TargetMode="External"/><Relationship Id="rId1019" Type="http://schemas.openxmlformats.org/officeDocument/2006/relationships/hyperlink" Target="https://my.zakupki.prom.ua/remote/dispatcher/state_purchase_lot_view/740621" TargetMode="External"/><Relationship Id="rId72" Type="http://schemas.openxmlformats.org/officeDocument/2006/relationships/hyperlink" Target="https://my.zakupki.prom.ua/remote/dispatcher/state_purchase_view/34697160" TargetMode="External"/><Relationship Id="rId375" Type="http://schemas.openxmlformats.org/officeDocument/2006/relationships/hyperlink" Target="https://my.zakupki.prom.ua/remote/dispatcher/state_purchase_view/34690736" TargetMode="External"/><Relationship Id="rId582" Type="http://schemas.openxmlformats.org/officeDocument/2006/relationships/hyperlink" Target="https://my.zakupki.prom.ua/remote/dispatcher/state_purchase_view/34687511" TargetMode="External"/><Relationship Id="rId638" Type="http://schemas.openxmlformats.org/officeDocument/2006/relationships/hyperlink" Target="https://my.zakupki.prom.ua/remote/dispatcher/state_purchase_view/34686402" TargetMode="External"/><Relationship Id="rId803" Type="http://schemas.openxmlformats.org/officeDocument/2006/relationships/hyperlink" Target="https://my.zakupki.prom.ua/remote/dispatcher/state_purchase_view/34683043" TargetMode="External"/><Relationship Id="rId845" Type="http://schemas.openxmlformats.org/officeDocument/2006/relationships/hyperlink" Target="https://my.zakupki.prom.ua/remote/dispatcher/state_purchase_view/34682305" TargetMode="External"/><Relationship Id="rId1030" Type="http://schemas.openxmlformats.org/officeDocument/2006/relationships/hyperlink" Target="https://my.zakupki.prom.ua/remote/dispatcher/state_purchase_view/34679153" TargetMode="External"/><Relationship Id="rId3" Type="http://schemas.openxmlformats.org/officeDocument/2006/relationships/hyperlink" Target="https://my.zakupki.prom.ua/remote/dispatcher/state_purchase_view/34696664" TargetMode="External"/><Relationship Id="rId235" Type="http://schemas.openxmlformats.org/officeDocument/2006/relationships/hyperlink" Target="https://my.zakupki.prom.ua/remote/dispatcher/state_purchase_view/34693845" TargetMode="External"/><Relationship Id="rId277" Type="http://schemas.openxmlformats.org/officeDocument/2006/relationships/hyperlink" Target="https://my.zakupki.prom.ua/remote/dispatcher/state_purchase_view/34693044" TargetMode="External"/><Relationship Id="rId400" Type="http://schemas.openxmlformats.org/officeDocument/2006/relationships/hyperlink" Target="https://my.zakupki.prom.ua/remote/dispatcher/state_purchase_view/34690274" TargetMode="External"/><Relationship Id="rId442" Type="http://schemas.openxmlformats.org/officeDocument/2006/relationships/hyperlink" Target="https://my.zakupki.prom.ua/remote/dispatcher/state_purchase_view/34689595" TargetMode="External"/><Relationship Id="rId484" Type="http://schemas.openxmlformats.org/officeDocument/2006/relationships/hyperlink" Target="https://my.zakupki.prom.ua/remote/dispatcher/state_purchase_view/34688794" TargetMode="External"/><Relationship Id="rId705" Type="http://schemas.openxmlformats.org/officeDocument/2006/relationships/hyperlink" Target="https://my.zakupki.prom.ua/remote/dispatcher/state_purchase_view/34685145" TargetMode="External"/><Relationship Id="rId887" Type="http://schemas.openxmlformats.org/officeDocument/2006/relationships/hyperlink" Target="https://my.zakupki.prom.ua/remote/dispatcher/state_purchase_view/34681346" TargetMode="External"/><Relationship Id="rId1072" Type="http://schemas.openxmlformats.org/officeDocument/2006/relationships/hyperlink" Target="https://my.zakupki.prom.ua/remote/dispatcher/state_purchase_view/34678774" TargetMode="External"/><Relationship Id="rId1128" Type="http://schemas.openxmlformats.org/officeDocument/2006/relationships/hyperlink" Target="https://my.zakupki.prom.ua/remote/dispatcher/state_purchase_view/34678177" TargetMode="External"/><Relationship Id="rId137" Type="http://schemas.openxmlformats.org/officeDocument/2006/relationships/hyperlink" Target="https://my.zakupki.prom.ua/remote/dispatcher/state_purchase_view/34696104" TargetMode="External"/><Relationship Id="rId302" Type="http://schemas.openxmlformats.org/officeDocument/2006/relationships/hyperlink" Target="https://my.zakupki.prom.ua/remote/dispatcher/state_purchase_view/34692601" TargetMode="External"/><Relationship Id="rId344" Type="http://schemas.openxmlformats.org/officeDocument/2006/relationships/hyperlink" Target="https://my.zakupki.prom.ua/remote/dispatcher/state_purchase_view/34691620" TargetMode="External"/><Relationship Id="rId691" Type="http://schemas.openxmlformats.org/officeDocument/2006/relationships/hyperlink" Target="https://my.zakupki.prom.ua/remote/dispatcher/state_purchase_view/34685311" TargetMode="External"/><Relationship Id="rId747" Type="http://schemas.openxmlformats.org/officeDocument/2006/relationships/hyperlink" Target="https://my.zakupki.prom.ua/remote/dispatcher/state_purchase_view/34684170" TargetMode="External"/><Relationship Id="rId789" Type="http://schemas.openxmlformats.org/officeDocument/2006/relationships/hyperlink" Target="https://my.zakupki.prom.ua/remote/dispatcher/state_purchase_view/34683299" TargetMode="External"/><Relationship Id="rId912" Type="http://schemas.openxmlformats.org/officeDocument/2006/relationships/hyperlink" Target="https://my.zakupki.prom.ua/remote/dispatcher/state_purchase_view/34681082" TargetMode="External"/><Relationship Id="rId954" Type="http://schemas.openxmlformats.org/officeDocument/2006/relationships/hyperlink" Target="https://my.zakupki.prom.ua/remote/dispatcher/state_purchase_view/34680045" TargetMode="External"/><Relationship Id="rId996" Type="http://schemas.openxmlformats.org/officeDocument/2006/relationships/hyperlink" Target="https://my.zakupki.prom.ua/remote/dispatcher/state_purchase_view/34679639" TargetMode="External"/><Relationship Id="rId41" Type="http://schemas.openxmlformats.org/officeDocument/2006/relationships/hyperlink" Target="https://my.zakupki.prom.ua/remote/dispatcher/state_purchase_lot_view/740810" TargetMode="External"/><Relationship Id="rId83" Type="http://schemas.openxmlformats.org/officeDocument/2006/relationships/hyperlink" Target="https://my.zakupki.prom.ua/remote/dispatcher/state_purchase_view/34697138" TargetMode="External"/><Relationship Id="rId179" Type="http://schemas.openxmlformats.org/officeDocument/2006/relationships/hyperlink" Target="https://my.zakupki.prom.ua/remote/dispatcher/state_purchase_view/34695426" TargetMode="External"/><Relationship Id="rId386" Type="http://schemas.openxmlformats.org/officeDocument/2006/relationships/hyperlink" Target="https://my.zakupki.prom.ua/remote/dispatcher/state_purchase_view/34690419" TargetMode="External"/><Relationship Id="rId551" Type="http://schemas.openxmlformats.org/officeDocument/2006/relationships/hyperlink" Target="https://my.zakupki.prom.ua/remote/dispatcher/state_purchase_lot_view/740707" TargetMode="External"/><Relationship Id="rId593" Type="http://schemas.openxmlformats.org/officeDocument/2006/relationships/hyperlink" Target="https://my.zakupki.prom.ua/remote/dispatcher/state_purchase_lot_view/740695" TargetMode="External"/><Relationship Id="rId607" Type="http://schemas.openxmlformats.org/officeDocument/2006/relationships/hyperlink" Target="https://my.zakupki.prom.ua/remote/dispatcher/state_purchase_view/34687198" TargetMode="External"/><Relationship Id="rId649" Type="http://schemas.openxmlformats.org/officeDocument/2006/relationships/hyperlink" Target="https://my.zakupki.prom.ua/remote/dispatcher/state_purchase_view/34686040" TargetMode="External"/><Relationship Id="rId814" Type="http://schemas.openxmlformats.org/officeDocument/2006/relationships/hyperlink" Target="https://my.zakupki.prom.ua/remote/dispatcher/state_purchase_view/34682890" TargetMode="External"/><Relationship Id="rId856" Type="http://schemas.openxmlformats.org/officeDocument/2006/relationships/hyperlink" Target="https://my.zakupki.prom.ua/remote/dispatcher/state_purchase_view/34682141" TargetMode="External"/><Relationship Id="rId190" Type="http://schemas.openxmlformats.org/officeDocument/2006/relationships/hyperlink" Target="https://my.zakupki.prom.ua/remote/dispatcher/state_purchase_view/34695052" TargetMode="External"/><Relationship Id="rId204" Type="http://schemas.openxmlformats.org/officeDocument/2006/relationships/hyperlink" Target="https://my.zakupki.prom.ua/remote/dispatcher/state_purchase_view/34694845" TargetMode="External"/><Relationship Id="rId246" Type="http://schemas.openxmlformats.org/officeDocument/2006/relationships/hyperlink" Target="https://my.zakupki.prom.ua/remote/dispatcher/state_purchase_view/34693666" TargetMode="External"/><Relationship Id="rId288" Type="http://schemas.openxmlformats.org/officeDocument/2006/relationships/hyperlink" Target="https://my.zakupki.prom.ua/remote/dispatcher/state_purchase_view/34692848" TargetMode="External"/><Relationship Id="rId411" Type="http://schemas.openxmlformats.org/officeDocument/2006/relationships/hyperlink" Target="https://my.zakupki.prom.ua/remote/dispatcher/state_purchase_view/34690168" TargetMode="External"/><Relationship Id="rId453" Type="http://schemas.openxmlformats.org/officeDocument/2006/relationships/hyperlink" Target="https://my.zakupki.prom.ua/remote/dispatcher/state_purchase_view/34689203" TargetMode="External"/><Relationship Id="rId509" Type="http://schemas.openxmlformats.org/officeDocument/2006/relationships/hyperlink" Target="https://my.zakupki.prom.ua/remote/dispatcher/state_purchase_view/34688475" TargetMode="External"/><Relationship Id="rId660" Type="http://schemas.openxmlformats.org/officeDocument/2006/relationships/hyperlink" Target="https://my.zakupki.prom.ua/remote/dispatcher/state_purchase_lot_view/740677" TargetMode="External"/><Relationship Id="rId898" Type="http://schemas.openxmlformats.org/officeDocument/2006/relationships/hyperlink" Target="https://my.zakupki.prom.ua/remote/dispatcher/state_purchase_lot_view/740635" TargetMode="External"/><Relationship Id="rId1041" Type="http://schemas.openxmlformats.org/officeDocument/2006/relationships/hyperlink" Target="https://my.zakupki.prom.ua/remote/dispatcher/state_purchase_lot_view/740614" TargetMode="External"/><Relationship Id="rId1083" Type="http://schemas.openxmlformats.org/officeDocument/2006/relationships/hyperlink" Target="https://my.zakupki.prom.ua/remote/dispatcher/state_purchase_lot_view/740599" TargetMode="External"/><Relationship Id="rId106" Type="http://schemas.openxmlformats.org/officeDocument/2006/relationships/hyperlink" Target="https://my.zakupki.prom.ua/remote/dispatcher/state_purchase_view/34696469" TargetMode="External"/><Relationship Id="rId313" Type="http://schemas.openxmlformats.org/officeDocument/2006/relationships/hyperlink" Target="https://my.zakupki.prom.ua/remote/dispatcher/state_purchase_view/34692449" TargetMode="External"/><Relationship Id="rId495" Type="http://schemas.openxmlformats.org/officeDocument/2006/relationships/hyperlink" Target="https://my.zakupki.prom.ua/remote/dispatcher/state_purchase_view/34688606" TargetMode="External"/><Relationship Id="rId716" Type="http://schemas.openxmlformats.org/officeDocument/2006/relationships/hyperlink" Target="https://my.zakupki.prom.ua/remote/dispatcher/state_purchase_view/34684951" TargetMode="External"/><Relationship Id="rId758" Type="http://schemas.openxmlformats.org/officeDocument/2006/relationships/hyperlink" Target="https://my.zakupki.prom.ua/remote/dispatcher/state_purchase_view/34684050" TargetMode="External"/><Relationship Id="rId923" Type="http://schemas.openxmlformats.org/officeDocument/2006/relationships/hyperlink" Target="https://my.zakupki.prom.ua/remote/dispatcher/state_purchase_view/34680896" TargetMode="External"/><Relationship Id="rId965" Type="http://schemas.openxmlformats.org/officeDocument/2006/relationships/hyperlink" Target="https://my.zakupki.prom.ua/remote/dispatcher/state_purchase_view/34679892" TargetMode="External"/><Relationship Id="rId10" Type="http://schemas.openxmlformats.org/officeDocument/2006/relationships/hyperlink" Target="https://my.zakupki.prom.ua/remote/dispatcher/state_purchase_view/34697736" TargetMode="External"/><Relationship Id="rId52" Type="http://schemas.openxmlformats.org/officeDocument/2006/relationships/hyperlink" Target="https://my.zakupki.prom.ua/remote/dispatcher/state_purchase_lot_view/740821" TargetMode="External"/><Relationship Id="rId94" Type="http://schemas.openxmlformats.org/officeDocument/2006/relationships/hyperlink" Target="https://my.zakupki.prom.ua/remote/dispatcher/state_purchase_view/34696607" TargetMode="External"/><Relationship Id="rId148" Type="http://schemas.openxmlformats.org/officeDocument/2006/relationships/hyperlink" Target="https://my.zakupki.prom.ua/remote/dispatcher/state_purchase_view/34695757" TargetMode="External"/><Relationship Id="rId355" Type="http://schemas.openxmlformats.org/officeDocument/2006/relationships/hyperlink" Target="https://my.zakupki.prom.ua/remote/dispatcher/state_purchase_view/34691134" TargetMode="External"/><Relationship Id="rId397" Type="http://schemas.openxmlformats.org/officeDocument/2006/relationships/hyperlink" Target="https://my.zakupki.prom.ua/remote/dispatcher/state_purchase_view/34690301" TargetMode="External"/><Relationship Id="rId520" Type="http://schemas.openxmlformats.org/officeDocument/2006/relationships/hyperlink" Target="https://my.zakupki.prom.ua/remote/dispatcher/state_purchase_view/34688337" TargetMode="External"/><Relationship Id="rId562" Type="http://schemas.openxmlformats.org/officeDocument/2006/relationships/hyperlink" Target="https://my.zakupki.prom.ua/remote/dispatcher/state_purchase_lot_view/740718" TargetMode="External"/><Relationship Id="rId618" Type="http://schemas.openxmlformats.org/officeDocument/2006/relationships/hyperlink" Target="https://my.zakupki.prom.ua/remote/dispatcher/state_purchase_view/34687007" TargetMode="External"/><Relationship Id="rId825" Type="http://schemas.openxmlformats.org/officeDocument/2006/relationships/hyperlink" Target="https://my.zakupki.prom.ua/remote/dispatcher/state_purchase_view/34682857" TargetMode="External"/><Relationship Id="rId215" Type="http://schemas.openxmlformats.org/officeDocument/2006/relationships/hyperlink" Target="https://my.zakupki.prom.ua/remote/dispatcher/state_purchase_lot_view/740778" TargetMode="External"/><Relationship Id="rId257" Type="http://schemas.openxmlformats.org/officeDocument/2006/relationships/hyperlink" Target="https://my.zakupki.prom.ua/remote/dispatcher/state_purchase_view/34693529" TargetMode="External"/><Relationship Id="rId422" Type="http://schemas.openxmlformats.org/officeDocument/2006/relationships/hyperlink" Target="https://my.zakupki.prom.ua/remote/dispatcher/state_purchase_lot_view/740743" TargetMode="External"/><Relationship Id="rId464" Type="http://schemas.openxmlformats.org/officeDocument/2006/relationships/hyperlink" Target="https://my.zakupki.prom.ua/remote/dispatcher/state_purchase_view/34689117" TargetMode="External"/><Relationship Id="rId867" Type="http://schemas.openxmlformats.org/officeDocument/2006/relationships/hyperlink" Target="https://my.zakupki.prom.ua/remote/dispatcher/state_purchase_view/34679701" TargetMode="External"/><Relationship Id="rId1010" Type="http://schemas.openxmlformats.org/officeDocument/2006/relationships/hyperlink" Target="https://my.zakupki.prom.ua/remote/dispatcher/state_purchase_view/34679400" TargetMode="External"/><Relationship Id="rId1052" Type="http://schemas.openxmlformats.org/officeDocument/2006/relationships/hyperlink" Target="https://my.zakupki.prom.ua/remote/dispatcher/state_purchase_view/34678949" TargetMode="External"/><Relationship Id="rId1094" Type="http://schemas.openxmlformats.org/officeDocument/2006/relationships/hyperlink" Target="https://my.zakupki.prom.ua/remote/dispatcher/state_purchase_lot_view/740589" TargetMode="External"/><Relationship Id="rId1108" Type="http://schemas.openxmlformats.org/officeDocument/2006/relationships/hyperlink" Target="https://my.zakupki.prom.ua/remote/dispatcher/state_purchase_lot_view/740586" TargetMode="External"/><Relationship Id="rId299" Type="http://schemas.openxmlformats.org/officeDocument/2006/relationships/hyperlink" Target="https://my.zakupki.prom.ua/remote/dispatcher/state_purchase_view/34692724" TargetMode="External"/><Relationship Id="rId727" Type="http://schemas.openxmlformats.org/officeDocument/2006/relationships/hyperlink" Target="https://my.zakupki.prom.ua/remote/dispatcher/state_purchase_view/34684760" TargetMode="External"/><Relationship Id="rId934" Type="http://schemas.openxmlformats.org/officeDocument/2006/relationships/hyperlink" Target="https://my.zakupki.prom.ua/remote/dispatcher/state_purchase_view/34680837" TargetMode="External"/><Relationship Id="rId63" Type="http://schemas.openxmlformats.org/officeDocument/2006/relationships/hyperlink" Target="https://my.zakupki.prom.ua/remote/dispatcher/state_purchase_lot_view/740803" TargetMode="External"/><Relationship Id="rId159" Type="http://schemas.openxmlformats.org/officeDocument/2006/relationships/hyperlink" Target="https://my.zakupki.prom.ua/remote/dispatcher/state_purchase_view/34695616" TargetMode="External"/><Relationship Id="rId366" Type="http://schemas.openxmlformats.org/officeDocument/2006/relationships/hyperlink" Target="https://my.zakupki.prom.ua/remote/dispatcher/state_purchase_view/34690163" TargetMode="External"/><Relationship Id="rId573" Type="http://schemas.openxmlformats.org/officeDocument/2006/relationships/hyperlink" Target="https://my.zakupki.prom.ua/remote/dispatcher/state_purchase_view/34687675" TargetMode="External"/><Relationship Id="rId780" Type="http://schemas.openxmlformats.org/officeDocument/2006/relationships/hyperlink" Target="https://my.zakupki.prom.ua/remote/dispatcher/state_purchase_view/34683437" TargetMode="External"/><Relationship Id="rId226" Type="http://schemas.openxmlformats.org/officeDocument/2006/relationships/hyperlink" Target="https://my.zakupki.prom.ua/remote/dispatcher/state_purchase_view/34694220" TargetMode="External"/><Relationship Id="rId433" Type="http://schemas.openxmlformats.org/officeDocument/2006/relationships/hyperlink" Target="https://my.zakupki.prom.ua/remote/dispatcher/state_purchase_view/34689647" TargetMode="External"/><Relationship Id="rId878" Type="http://schemas.openxmlformats.org/officeDocument/2006/relationships/hyperlink" Target="https://my.zakupki.prom.ua/remote/dispatcher/state_purchase_view/34681416" TargetMode="External"/><Relationship Id="rId1063" Type="http://schemas.openxmlformats.org/officeDocument/2006/relationships/hyperlink" Target="https://my.zakupki.prom.ua/remote/dispatcher/state_purchase_view/34678873" TargetMode="External"/><Relationship Id="rId640" Type="http://schemas.openxmlformats.org/officeDocument/2006/relationships/hyperlink" Target="https://my.zakupki.prom.ua/remote/dispatcher/state_purchase_view/34686373" TargetMode="External"/><Relationship Id="rId738" Type="http://schemas.openxmlformats.org/officeDocument/2006/relationships/hyperlink" Target="https://my.zakupki.prom.ua/remote/dispatcher/state_purchase_view/34684378" TargetMode="External"/><Relationship Id="rId945" Type="http://schemas.openxmlformats.org/officeDocument/2006/relationships/hyperlink" Target="https://my.zakupki.prom.ua/remote/dispatcher/state_purchase_view/34666081" TargetMode="External"/><Relationship Id="rId74" Type="http://schemas.openxmlformats.org/officeDocument/2006/relationships/hyperlink" Target="https://my.zakupki.prom.ua/remote/dispatcher/state_purchase_lot_view/740793" TargetMode="External"/><Relationship Id="rId377" Type="http://schemas.openxmlformats.org/officeDocument/2006/relationships/hyperlink" Target="https://my.zakupki.prom.ua/remote/dispatcher/state_purchase_view/34690710" TargetMode="External"/><Relationship Id="rId500" Type="http://schemas.openxmlformats.org/officeDocument/2006/relationships/hyperlink" Target="https://my.zakupki.prom.ua/remote/dispatcher/state_purchase_view/34688552" TargetMode="External"/><Relationship Id="rId584" Type="http://schemas.openxmlformats.org/officeDocument/2006/relationships/hyperlink" Target="https://my.zakupki.prom.ua/remote/dispatcher/state_purchase_view/34687335" TargetMode="External"/><Relationship Id="rId805" Type="http://schemas.openxmlformats.org/officeDocument/2006/relationships/hyperlink" Target="https://my.zakupki.prom.ua/remote/dispatcher/state_purchase_view/34683021" TargetMode="External"/><Relationship Id="rId1130" Type="http://schemas.openxmlformats.org/officeDocument/2006/relationships/hyperlink" Target="https://my.zakupki.prom.ua/remote/dispatcher/state_purchase_view/34678178" TargetMode="External"/><Relationship Id="rId5" Type="http://schemas.openxmlformats.org/officeDocument/2006/relationships/hyperlink" Target="https://my.zakupki.prom.ua/remote/dispatcher/state_purchase_view/34697792" TargetMode="External"/><Relationship Id="rId237" Type="http://schemas.openxmlformats.org/officeDocument/2006/relationships/hyperlink" Target="https://my.zakupki.prom.ua/remote/dispatcher/state_purchase_view/34693772" TargetMode="External"/><Relationship Id="rId791" Type="http://schemas.openxmlformats.org/officeDocument/2006/relationships/hyperlink" Target="https://my.zakupki.prom.ua/remote/dispatcher/state_purchase_view/34683291" TargetMode="External"/><Relationship Id="rId889" Type="http://schemas.openxmlformats.org/officeDocument/2006/relationships/hyperlink" Target="https://my.zakupki.prom.ua/remote/dispatcher/state_purchase_view/34681331" TargetMode="External"/><Relationship Id="rId1074" Type="http://schemas.openxmlformats.org/officeDocument/2006/relationships/hyperlink" Target="https://my.zakupki.prom.ua/remote/dispatcher/state_purchase_view/34678744" TargetMode="External"/><Relationship Id="rId444" Type="http://schemas.openxmlformats.org/officeDocument/2006/relationships/hyperlink" Target="https://my.zakupki.prom.ua/remote/dispatcher/state_purchase_view/34689565" TargetMode="External"/><Relationship Id="rId651" Type="http://schemas.openxmlformats.org/officeDocument/2006/relationships/hyperlink" Target="https://my.zakupki.prom.ua/remote/dispatcher/state_purchase_view/34685979" TargetMode="External"/><Relationship Id="rId749" Type="http://schemas.openxmlformats.org/officeDocument/2006/relationships/hyperlink" Target="https://my.zakupki.prom.ua/remote/dispatcher/state_purchase_view/34684162" TargetMode="External"/><Relationship Id="rId290" Type="http://schemas.openxmlformats.org/officeDocument/2006/relationships/hyperlink" Target="https://my.zakupki.prom.ua/remote/dispatcher/state_purchase_view/34692825" TargetMode="External"/><Relationship Id="rId304" Type="http://schemas.openxmlformats.org/officeDocument/2006/relationships/hyperlink" Target="https://my.zakupki.prom.ua/remote/dispatcher/state_purchase_view/34692548" TargetMode="External"/><Relationship Id="rId388" Type="http://schemas.openxmlformats.org/officeDocument/2006/relationships/hyperlink" Target="https://my.zakupki.prom.ua/remote/dispatcher/state_purchase_view/34690389" TargetMode="External"/><Relationship Id="rId511" Type="http://schemas.openxmlformats.org/officeDocument/2006/relationships/hyperlink" Target="https://my.zakupki.prom.ua/remote/dispatcher/state_purchase_view/34688376" TargetMode="External"/><Relationship Id="rId609" Type="http://schemas.openxmlformats.org/officeDocument/2006/relationships/hyperlink" Target="https://my.zakupki.prom.ua/remote/dispatcher/state_purchase_view/34687191" TargetMode="External"/><Relationship Id="rId956" Type="http://schemas.openxmlformats.org/officeDocument/2006/relationships/hyperlink" Target="https://my.zakupki.prom.ua/remote/dispatcher/state_purchase_view/34679628" TargetMode="External"/><Relationship Id="rId85" Type="http://schemas.openxmlformats.org/officeDocument/2006/relationships/hyperlink" Target="https://my.zakupki.prom.ua/remote/dispatcher/state_purchase_view/34697123" TargetMode="External"/><Relationship Id="rId150" Type="http://schemas.openxmlformats.org/officeDocument/2006/relationships/hyperlink" Target="https://my.zakupki.prom.ua/remote/dispatcher/state_purchase_lot_view/740643" TargetMode="External"/><Relationship Id="rId595" Type="http://schemas.openxmlformats.org/officeDocument/2006/relationships/hyperlink" Target="https://my.zakupki.prom.ua/remote/dispatcher/state_purchase_lot_view/740697" TargetMode="External"/><Relationship Id="rId816" Type="http://schemas.openxmlformats.org/officeDocument/2006/relationships/hyperlink" Target="https://my.zakupki.prom.ua/remote/dispatcher/state_purchase_view/34682886" TargetMode="External"/><Relationship Id="rId1001" Type="http://schemas.openxmlformats.org/officeDocument/2006/relationships/hyperlink" Target="https://my.zakupki.prom.ua/remote/dispatcher/state_purchase_view/34679397" TargetMode="External"/><Relationship Id="rId248" Type="http://schemas.openxmlformats.org/officeDocument/2006/relationships/hyperlink" Target="https://my.zakupki.prom.ua/remote/dispatcher/state_purchase_view/34693622" TargetMode="External"/><Relationship Id="rId455" Type="http://schemas.openxmlformats.org/officeDocument/2006/relationships/hyperlink" Target="https://my.zakupki.prom.ua/remote/dispatcher/state_purchase_view/34689184" TargetMode="External"/><Relationship Id="rId662" Type="http://schemas.openxmlformats.org/officeDocument/2006/relationships/hyperlink" Target="https://my.zakupki.prom.ua/remote/dispatcher/state_purchase_lot_view/740679" TargetMode="External"/><Relationship Id="rId1085" Type="http://schemas.openxmlformats.org/officeDocument/2006/relationships/hyperlink" Target="https://my.zakupki.prom.ua/remote/dispatcher/state_purchase_lot_view/740601" TargetMode="External"/><Relationship Id="rId12" Type="http://schemas.openxmlformats.org/officeDocument/2006/relationships/hyperlink" Target="https://my.zakupki.prom.ua/remote/dispatcher/state_purchase_view/34697728" TargetMode="External"/><Relationship Id="rId108" Type="http://schemas.openxmlformats.org/officeDocument/2006/relationships/hyperlink" Target="https://my.zakupki.prom.ua/remote/dispatcher/state_purchase_view/34696444" TargetMode="External"/><Relationship Id="rId315" Type="http://schemas.openxmlformats.org/officeDocument/2006/relationships/hyperlink" Target="https://my.zakupki.prom.ua/remote/dispatcher/state_purchase_lot_view/740754" TargetMode="External"/><Relationship Id="rId522" Type="http://schemas.openxmlformats.org/officeDocument/2006/relationships/hyperlink" Target="https://my.zakupki.prom.ua/remote/dispatcher/state_purchase_view/34688318" TargetMode="External"/><Relationship Id="rId967" Type="http://schemas.openxmlformats.org/officeDocument/2006/relationships/hyperlink" Target="https://my.zakupki.prom.ua/remote/dispatcher/state_purchase_view/34679882" TargetMode="External"/><Relationship Id="rId96" Type="http://schemas.openxmlformats.org/officeDocument/2006/relationships/hyperlink" Target="https://my.zakupki.prom.ua/remote/dispatcher/state_purchase_view/34696547" TargetMode="External"/><Relationship Id="rId161" Type="http://schemas.openxmlformats.org/officeDocument/2006/relationships/hyperlink" Target="https://my.zakupki.prom.ua/remote/dispatcher/state_purchase_view/34695571" TargetMode="External"/><Relationship Id="rId399" Type="http://schemas.openxmlformats.org/officeDocument/2006/relationships/hyperlink" Target="https://my.zakupki.prom.ua/remote/dispatcher/state_purchase_view/34690285" TargetMode="External"/><Relationship Id="rId827" Type="http://schemas.openxmlformats.org/officeDocument/2006/relationships/hyperlink" Target="https://my.zakupki.prom.ua/remote/dispatcher/state_purchase_view/34682754" TargetMode="External"/><Relationship Id="rId1012" Type="http://schemas.openxmlformats.org/officeDocument/2006/relationships/hyperlink" Target="https://my.zakupki.prom.ua/remote/dispatcher/state_purchase_view/34679403" TargetMode="External"/><Relationship Id="rId259" Type="http://schemas.openxmlformats.org/officeDocument/2006/relationships/hyperlink" Target="https://my.zakupki.prom.ua/remote/dispatcher/state_purchase_view/34693362" TargetMode="External"/><Relationship Id="rId466" Type="http://schemas.openxmlformats.org/officeDocument/2006/relationships/hyperlink" Target="https://my.zakupki.prom.ua/remote/dispatcher/state_purchase_view/34689110" TargetMode="External"/><Relationship Id="rId673" Type="http://schemas.openxmlformats.org/officeDocument/2006/relationships/hyperlink" Target="https://my.zakupki.prom.ua/remote/dispatcher/state_purchase_view/34685738" TargetMode="External"/><Relationship Id="rId880" Type="http://schemas.openxmlformats.org/officeDocument/2006/relationships/hyperlink" Target="https://my.zakupki.prom.ua/remote/dispatcher/state_purchase_view/34681407" TargetMode="External"/><Relationship Id="rId1096" Type="http://schemas.openxmlformats.org/officeDocument/2006/relationships/hyperlink" Target="https://my.zakupki.prom.ua/remote/dispatcher/state_purchase_lot_view/740591" TargetMode="External"/><Relationship Id="rId23" Type="http://schemas.openxmlformats.org/officeDocument/2006/relationships/hyperlink" Target="https://my.zakupki.prom.ua/remote/dispatcher/state_purchase_view/34697656" TargetMode="External"/><Relationship Id="rId119" Type="http://schemas.openxmlformats.org/officeDocument/2006/relationships/hyperlink" Target="https://my.zakupki.prom.ua/remote/dispatcher/state_purchase_view/34696373" TargetMode="External"/><Relationship Id="rId326" Type="http://schemas.openxmlformats.org/officeDocument/2006/relationships/hyperlink" Target="https://my.zakupki.prom.ua/remote/dispatcher/state_purchase_view/34691289" TargetMode="External"/><Relationship Id="rId533" Type="http://schemas.openxmlformats.org/officeDocument/2006/relationships/hyperlink" Target="https://my.zakupki.prom.ua/remote/dispatcher/state_purchase_view/34688233" TargetMode="External"/><Relationship Id="rId978" Type="http://schemas.openxmlformats.org/officeDocument/2006/relationships/hyperlink" Target="https://my.zakupki.prom.ua/remote/dispatcher/state_purchase_view/34679816" TargetMode="External"/><Relationship Id="rId740" Type="http://schemas.openxmlformats.org/officeDocument/2006/relationships/hyperlink" Target="https://my.zakupki.prom.ua/remote/dispatcher/state_purchase_view/34684287" TargetMode="External"/><Relationship Id="rId838" Type="http://schemas.openxmlformats.org/officeDocument/2006/relationships/hyperlink" Target="https://my.zakupki.prom.ua/remote/dispatcher/state_purchase_view/34682348" TargetMode="External"/><Relationship Id="rId1023" Type="http://schemas.openxmlformats.org/officeDocument/2006/relationships/hyperlink" Target="https://my.zakupki.prom.ua/remote/dispatcher/state_purchase_lot_view/740619" TargetMode="External"/><Relationship Id="rId172" Type="http://schemas.openxmlformats.org/officeDocument/2006/relationships/hyperlink" Target="https://my.zakupki.prom.ua/remote/dispatcher/state_purchase_view/34695488" TargetMode="External"/><Relationship Id="rId477" Type="http://schemas.openxmlformats.org/officeDocument/2006/relationships/hyperlink" Target="https://my.zakupki.prom.ua/remote/dispatcher/state_purchase_view/34688946" TargetMode="External"/><Relationship Id="rId600" Type="http://schemas.openxmlformats.org/officeDocument/2006/relationships/hyperlink" Target="https://my.zakupki.prom.ua/remote/dispatcher/state_purchase_lot_view/740702" TargetMode="External"/><Relationship Id="rId684" Type="http://schemas.openxmlformats.org/officeDocument/2006/relationships/hyperlink" Target="https://my.zakupki.prom.ua/remote/dispatcher/state_purchase_view/34685631" TargetMode="External"/><Relationship Id="rId337" Type="http://schemas.openxmlformats.org/officeDocument/2006/relationships/hyperlink" Target="https://my.zakupki.prom.ua/remote/dispatcher/state_purchase_view/34691198" TargetMode="External"/><Relationship Id="rId891" Type="http://schemas.openxmlformats.org/officeDocument/2006/relationships/hyperlink" Target="https://my.zakupki.prom.ua/remote/dispatcher/state_purchase_view/34681311" TargetMode="External"/><Relationship Id="rId905" Type="http://schemas.openxmlformats.org/officeDocument/2006/relationships/hyperlink" Target="https://my.zakupki.prom.ua/remote/dispatcher/state_purchase_view/34681235" TargetMode="External"/><Relationship Id="rId989" Type="http://schemas.openxmlformats.org/officeDocument/2006/relationships/hyperlink" Target="https://my.zakupki.prom.ua/remote/dispatcher/state_purchase_view/34679734" TargetMode="External"/><Relationship Id="rId34" Type="http://schemas.openxmlformats.org/officeDocument/2006/relationships/hyperlink" Target="https://my.zakupki.prom.ua/remote/dispatcher/state_purchase_view/34697457" TargetMode="External"/><Relationship Id="rId544" Type="http://schemas.openxmlformats.org/officeDocument/2006/relationships/hyperlink" Target="https://my.zakupki.prom.ua/remote/dispatcher/state_purchase_view/34687922" TargetMode="External"/><Relationship Id="rId751" Type="http://schemas.openxmlformats.org/officeDocument/2006/relationships/hyperlink" Target="https://my.zakupki.prom.ua/remote/dispatcher/state_purchase_lot_view/740663" TargetMode="External"/><Relationship Id="rId849" Type="http://schemas.openxmlformats.org/officeDocument/2006/relationships/hyperlink" Target="https://my.zakupki.prom.ua/remote/dispatcher/state_purchase_lot_view/740646" TargetMode="External"/><Relationship Id="rId183" Type="http://schemas.openxmlformats.org/officeDocument/2006/relationships/hyperlink" Target="https://my.zakupki.prom.ua/remote/dispatcher/state_purchase_view/34695266" TargetMode="External"/><Relationship Id="rId390" Type="http://schemas.openxmlformats.org/officeDocument/2006/relationships/hyperlink" Target="https://my.zakupki.prom.ua/remote/dispatcher/state_purchase_view/34690363" TargetMode="External"/><Relationship Id="rId404" Type="http://schemas.openxmlformats.org/officeDocument/2006/relationships/hyperlink" Target="https://my.zakupki.prom.ua/remote/dispatcher/state_purchase_view/34690245" TargetMode="External"/><Relationship Id="rId611" Type="http://schemas.openxmlformats.org/officeDocument/2006/relationships/hyperlink" Target="https://my.zakupki.prom.ua/remote/dispatcher/state_purchase_view/34687151" TargetMode="External"/><Relationship Id="rId1034" Type="http://schemas.openxmlformats.org/officeDocument/2006/relationships/hyperlink" Target="https://my.zakupki.prom.ua/remote/dispatcher/state_purchase_view/34679064" TargetMode="External"/><Relationship Id="rId250" Type="http://schemas.openxmlformats.org/officeDocument/2006/relationships/hyperlink" Target="https://my.zakupki.prom.ua/remote/dispatcher/state_purchase_view/34693595" TargetMode="External"/><Relationship Id="rId488" Type="http://schemas.openxmlformats.org/officeDocument/2006/relationships/hyperlink" Target="https://my.zakupki.prom.ua/remote/dispatcher/state_purchase_view/34688703" TargetMode="External"/><Relationship Id="rId695" Type="http://schemas.openxmlformats.org/officeDocument/2006/relationships/hyperlink" Target="https://my.zakupki.prom.ua/remote/dispatcher/state_purchase_view/34685236" TargetMode="External"/><Relationship Id="rId709" Type="http://schemas.openxmlformats.org/officeDocument/2006/relationships/hyperlink" Target="https://my.zakupki.prom.ua/remote/dispatcher/state_purchase_view/34685099" TargetMode="External"/><Relationship Id="rId916" Type="http://schemas.openxmlformats.org/officeDocument/2006/relationships/hyperlink" Target="https://my.zakupki.prom.ua/remote/dispatcher/state_purchase_view/34681011" TargetMode="External"/><Relationship Id="rId1101" Type="http://schemas.openxmlformats.org/officeDocument/2006/relationships/hyperlink" Target="https://my.zakupki.prom.ua/remote/dispatcher/state_purchase_lot_view/740579" TargetMode="External"/><Relationship Id="rId45" Type="http://schemas.openxmlformats.org/officeDocument/2006/relationships/hyperlink" Target="https://my.zakupki.prom.ua/remote/dispatcher/state_purchase_lot_view/740814" TargetMode="External"/><Relationship Id="rId110" Type="http://schemas.openxmlformats.org/officeDocument/2006/relationships/hyperlink" Target="https://my.zakupki.prom.ua/remote/dispatcher/state_purchase_view/34696434" TargetMode="External"/><Relationship Id="rId348" Type="http://schemas.openxmlformats.org/officeDocument/2006/relationships/hyperlink" Target="https://my.zakupki.prom.ua/remote/dispatcher/state_purchase_lot_view/740753" TargetMode="External"/><Relationship Id="rId555" Type="http://schemas.openxmlformats.org/officeDocument/2006/relationships/hyperlink" Target="https://my.zakupki.prom.ua/remote/dispatcher/state_purchase_lot_view/740711" TargetMode="External"/><Relationship Id="rId762" Type="http://schemas.openxmlformats.org/officeDocument/2006/relationships/hyperlink" Target="https://my.zakupki.prom.ua/remote/dispatcher/state_purchase_view/34684018" TargetMode="External"/><Relationship Id="rId194" Type="http://schemas.openxmlformats.org/officeDocument/2006/relationships/hyperlink" Target="https://my.zakupki.prom.ua/remote/dispatcher/state_purchase_view/34695017" TargetMode="External"/><Relationship Id="rId208" Type="http://schemas.openxmlformats.org/officeDocument/2006/relationships/hyperlink" Target="https://my.zakupki.prom.ua/remote/dispatcher/state_purchase_view/34694584" TargetMode="External"/><Relationship Id="rId415" Type="http://schemas.openxmlformats.org/officeDocument/2006/relationships/hyperlink" Target="https://my.zakupki.prom.ua/remote/dispatcher/state_purchase_view/34690124" TargetMode="External"/><Relationship Id="rId622" Type="http://schemas.openxmlformats.org/officeDocument/2006/relationships/hyperlink" Target="https://my.zakupki.prom.ua/remote/dispatcher/state_purchase_view/34686742" TargetMode="External"/><Relationship Id="rId1045" Type="http://schemas.openxmlformats.org/officeDocument/2006/relationships/hyperlink" Target="https://my.zakupki.prom.ua/remote/dispatcher/state_purchase_view/34679014" TargetMode="External"/><Relationship Id="rId261" Type="http://schemas.openxmlformats.org/officeDocument/2006/relationships/hyperlink" Target="https://my.zakupki.prom.ua/remote/dispatcher/state_purchase_view/34693433" TargetMode="External"/><Relationship Id="rId499" Type="http://schemas.openxmlformats.org/officeDocument/2006/relationships/hyperlink" Target="https://my.zakupki.prom.ua/remote/dispatcher/state_purchase_view/34688557" TargetMode="External"/><Relationship Id="rId927" Type="http://schemas.openxmlformats.org/officeDocument/2006/relationships/hyperlink" Target="https://my.zakupki.prom.ua/remote/dispatcher/state_purchase_view/34680875" TargetMode="External"/><Relationship Id="rId1112" Type="http://schemas.openxmlformats.org/officeDocument/2006/relationships/hyperlink" Target="https://my.zakupki.prom.ua/remote/dispatcher/state_purchase_view/34678709" TargetMode="External"/><Relationship Id="rId56" Type="http://schemas.openxmlformats.org/officeDocument/2006/relationships/hyperlink" Target="https://my.zakupki.prom.ua/remote/dispatcher/state_purchase_view/34697275" TargetMode="External"/><Relationship Id="rId359" Type="http://schemas.openxmlformats.org/officeDocument/2006/relationships/hyperlink" Target="https://my.zakupki.prom.ua/remote/dispatcher/state_purchase_view/34691076" TargetMode="External"/><Relationship Id="rId566" Type="http://schemas.openxmlformats.org/officeDocument/2006/relationships/hyperlink" Target="https://my.zakupki.prom.ua/remote/dispatcher/state_purchase_view/34687786" TargetMode="External"/><Relationship Id="rId773" Type="http://schemas.openxmlformats.org/officeDocument/2006/relationships/hyperlink" Target="https://my.zakupki.prom.ua/remote/dispatcher/state_purchase_view/34683839" TargetMode="External"/><Relationship Id="rId121" Type="http://schemas.openxmlformats.org/officeDocument/2006/relationships/hyperlink" Target="https://my.zakupki.prom.ua/remote/dispatcher/state_purchase_view/34696307" TargetMode="External"/><Relationship Id="rId219" Type="http://schemas.openxmlformats.org/officeDocument/2006/relationships/hyperlink" Target="https://my.zakupki.prom.ua/remote/dispatcher/state_purchase_view/34694329" TargetMode="External"/><Relationship Id="rId426" Type="http://schemas.openxmlformats.org/officeDocument/2006/relationships/hyperlink" Target="https://my.zakupki.prom.ua/remote/dispatcher/state_purchase_view/34689811" TargetMode="External"/><Relationship Id="rId633" Type="http://schemas.openxmlformats.org/officeDocument/2006/relationships/hyperlink" Target="https://my.zakupki.prom.ua/remote/dispatcher/state_purchase_view/34686502" TargetMode="External"/><Relationship Id="rId980" Type="http://schemas.openxmlformats.org/officeDocument/2006/relationships/hyperlink" Target="https://my.zakupki.prom.ua/remote/dispatcher/state_purchase_view/34679810" TargetMode="External"/><Relationship Id="rId1056" Type="http://schemas.openxmlformats.org/officeDocument/2006/relationships/hyperlink" Target="https://my.zakupki.prom.ua/remote/dispatcher/state_purchase_view/34678898" TargetMode="External"/><Relationship Id="rId840" Type="http://schemas.openxmlformats.org/officeDocument/2006/relationships/hyperlink" Target="https://my.zakupki.prom.ua/remote/dispatcher/state_purchase_lot_view/740649" TargetMode="External"/><Relationship Id="rId938" Type="http://schemas.openxmlformats.org/officeDocument/2006/relationships/hyperlink" Target="https://my.zakupki.prom.ua/remote/dispatcher/state_purchase_view/34680802" TargetMode="External"/><Relationship Id="rId67" Type="http://schemas.openxmlformats.org/officeDocument/2006/relationships/hyperlink" Target="https://my.zakupki.prom.ua/remote/dispatcher/state_purchase_view/34697215" TargetMode="External"/><Relationship Id="rId272" Type="http://schemas.openxmlformats.org/officeDocument/2006/relationships/hyperlink" Target="https://my.zakupki.prom.ua/remote/dispatcher/state_purchase_view/34693316" TargetMode="External"/><Relationship Id="rId577" Type="http://schemas.openxmlformats.org/officeDocument/2006/relationships/hyperlink" Target="https://my.zakupki.prom.ua/remote/dispatcher/state_purchase_view/34687593" TargetMode="External"/><Relationship Id="rId700" Type="http://schemas.openxmlformats.org/officeDocument/2006/relationships/hyperlink" Target="https://my.zakupki.prom.ua/remote/dispatcher/state_purchase_view/34685212" TargetMode="External"/><Relationship Id="rId1123" Type="http://schemas.openxmlformats.org/officeDocument/2006/relationships/hyperlink" Target="https://my.zakupki.prom.ua/remote/dispatcher/state_purchase_view/34678243" TargetMode="External"/><Relationship Id="rId132" Type="http://schemas.openxmlformats.org/officeDocument/2006/relationships/hyperlink" Target="https://my.zakupki.prom.ua/remote/dispatcher/state_purchase_view/34696141" TargetMode="External"/><Relationship Id="rId784" Type="http://schemas.openxmlformats.org/officeDocument/2006/relationships/hyperlink" Target="https://my.zakupki.prom.ua/remote/dispatcher/state_purchase_view/34683394" TargetMode="External"/><Relationship Id="rId991" Type="http://schemas.openxmlformats.org/officeDocument/2006/relationships/hyperlink" Target="https://my.zakupki.prom.ua/remote/dispatcher/state_purchase_view/34679713" TargetMode="External"/><Relationship Id="rId1067" Type="http://schemas.openxmlformats.org/officeDocument/2006/relationships/hyperlink" Target="https://my.zakupki.prom.ua/remote/dispatcher/state_purchase_view/34678863" TargetMode="External"/><Relationship Id="rId437" Type="http://schemas.openxmlformats.org/officeDocument/2006/relationships/hyperlink" Target="https://my.zakupki.prom.ua/remote/dispatcher/state_purchase_lot_view/740736" TargetMode="External"/><Relationship Id="rId644" Type="http://schemas.openxmlformats.org/officeDocument/2006/relationships/hyperlink" Target="https://my.zakupki.prom.ua/remote/dispatcher/state_purchase_view/34686248" TargetMode="External"/><Relationship Id="rId851" Type="http://schemas.openxmlformats.org/officeDocument/2006/relationships/hyperlink" Target="https://my.zakupki.prom.ua/remote/dispatcher/state_purchase_view/34682194" TargetMode="External"/><Relationship Id="rId283" Type="http://schemas.openxmlformats.org/officeDocument/2006/relationships/hyperlink" Target="https://my.zakupki.prom.ua/remote/dispatcher/state_purchase_view/34692940" TargetMode="External"/><Relationship Id="rId490" Type="http://schemas.openxmlformats.org/officeDocument/2006/relationships/hyperlink" Target="https://my.zakupki.prom.ua/remote/dispatcher/state_purchase_lot_view/740692" TargetMode="External"/><Relationship Id="rId504" Type="http://schemas.openxmlformats.org/officeDocument/2006/relationships/hyperlink" Target="https://my.zakupki.prom.ua/remote/dispatcher/state_purchase_view/34688516" TargetMode="External"/><Relationship Id="rId711" Type="http://schemas.openxmlformats.org/officeDocument/2006/relationships/hyperlink" Target="https://my.zakupki.prom.ua/remote/dispatcher/state_purchase_view/34685063" TargetMode="External"/><Relationship Id="rId949" Type="http://schemas.openxmlformats.org/officeDocument/2006/relationships/hyperlink" Target="https://my.zakupki.prom.ua/remote/dispatcher/state_purchase_view/34680166" TargetMode="External"/><Relationship Id="rId1134" Type="http://schemas.openxmlformats.org/officeDocument/2006/relationships/hyperlink" Target="https://my.zakupki.prom.ua/remote/dispatcher/state_purchase_view/34678132" TargetMode="External"/><Relationship Id="rId78" Type="http://schemas.openxmlformats.org/officeDocument/2006/relationships/hyperlink" Target="https://my.zakupki.prom.ua/remote/dispatcher/state_purchase_lot_view/740797" TargetMode="External"/><Relationship Id="rId143" Type="http://schemas.openxmlformats.org/officeDocument/2006/relationships/hyperlink" Target="https://my.zakupki.prom.ua/remote/dispatcher/state_purchase_view/34695840" TargetMode="External"/><Relationship Id="rId350" Type="http://schemas.openxmlformats.org/officeDocument/2006/relationships/hyperlink" Target="https://my.zakupki.prom.ua/remote/dispatcher/state_purchase_view/34681272" TargetMode="External"/><Relationship Id="rId588" Type="http://schemas.openxmlformats.org/officeDocument/2006/relationships/hyperlink" Target="https://my.zakupki.prom.ua/remote/dispatcher/state_purchase_view/34687237" TargetMode="External"/><Relationship Id="rId795" Type="http://schemas.openxmlformats.org/officeDocument/2006/relationships/hyperlink" Target="https://my.zakupki.prom.ua/remote/dispatcher/state_purchase_view/34683235" TargetMode="External"/><Relationship Id="rId809" Type="http://schemas.openxmlformats.org/officeDocument/2006/relationships/hyperlink" Target="https://my.zakupki.prom.ua/remote/dispatcher/state_purchase_view/34682958" TargetMode="External"/><Relationship Id="rId9" Type="http://schemas.openxmlformats.org/officeDocument/2006/relationships/hyperlink" Target="https://my.zakupki.prom.ua/remote/dispatcher/state_purchase_view/34697738" TargetMode="External"/><Relationship Id="rId210" Type="http://schemas.openxmlformats.org/officeDocument/2006/relationships/hyperlink" Target="https://my.zakupki.prom.ua/remote/dispatcher/state_purchase_view/34694555" TargetMode="External"/><Relationship Id="rId448" Type="http://schemas.openxmlformats.org/officeDocument/2006/relationships/hyperlink" Target="https://my.zakupki.prom.ua/remote/dispatcher/state_purchase_view/34689499" TargetMode="External"/><Relationship Id="rId655" Type="http://schemas.openxmlformats.org/officeDocument/2006/relationships/hyperlink" Target="https://my.zakupki.prom.ua/remote/dispatcher/state_purchase_view/34679555" TargetMode="External"/><Relationship Id="rId862" Type="http://schemas.openxmlformats.org/officeDocument/2006/relationships/hyperlink" Target="https://my.zakupki.prom.ua/remote/dispatcher/state_purchase_view/34682029" TargetMode="External"/><Relationship Id="rId1078" Type="http://schemas.openxmlformats.org/officeDocument/2006/relationships/hyperlink" Target="https://my.zakupki.prom.ua/remote/dispatcher/state_purchase_lot_view/740594" TargetMode="External"/><Relationship Id="rId294" Type="http://schemas.openxmlformats.org/officeDocument/2006/relationships/hyperlink" Target="https://my.zakupki.prom.ua/remote/dispatcher/state_purchase_view/34692788" TargetMode="External"/><Relationship Id="rId308" Type="http://schemas.openxmlformats.org/officeDocument/2006/relationships/hyperlink" Target="https://my.zakupki.prom.ua/remote/dispatcher/state_purchase_lot_view/740757" TargetMode="External"/><Relationship Id="rId515" Type="http://schemas.openxmlformats.org/officeDocument/2006/relationships/hyperlink" Target="https://my.zakupki.prom.ua/remote/dispatcher/state_purchase_view/34688380" TargetMode="External"/><Relationship Id="rId722" Type="http://schemas.openxmlformats.org/officeDocument/2006/relationships/hyperlink" Target="https://my.zakupki.prom.ua/remote/dispatcher/state_purchase_view/34684792" TargetMode="External"/><Relationship Id="rId89" Type="http://schemas.openxmlformats.org/officeDocument/2006/relationships/hyperlink" Target="https://my.zakupki.prom.ua/remote/dispatcher/state_purchase_view/34696668" TargetMode="External"/><Relationship Id="rId154" Type="http://schemas.openxmlformats.org/officeDocument/2006/relationships/hyperlink" Target="https://my.zakupki.prom.ua/remote/dispatcher/state_purchase_view/34695427" TargetMode="External"/><Relationship Id="rId361" Type="http://schemas.openxmlformats.org/officeDocument/2006/relationships/hyperlink" Target="https://my.zakupki.prom.ua/remote/dispatcher/state_purchase_view/34685568" TargetMode="External"/><Relationship Id="rId599" Type="http://schemas.openxmlformats.org/officeDocument/2006/relationships/hyperlink" Target="https://my.zakupki.prom.ua/remote/dispatcher/state_purchase_lot_view/740701" TargetMode="External"/><Relationship Id="rId1005" Type="http://schemas.openxmlformats.org/officeDocument/2006/relationships/hyperlink" Target="https://my.zakupki.prom.ua/remote/dispatcher/state_purchase_view/34679150" TargetMode="External"/><Relationship Id="rId459" Type="http://schemas.openxmlformats.org/officeDocument/2006/relationships/hyperlink" Target="https://my.zakupki.prom.ua/remote/dispatcher/state_purchase_view/34689145" TargetMode="External"/><Relationship Id="rId666" Type="http://schemas.openxmlformats.org/officeDocument/2006/relationships/hyperlink" Target="https://my.zakupki.prom.ua/remote/dispatcher/state_purchase_view/34685875" TargetMode="External"/><Relationship Id="rId873" Type="http://schemas.openxmlformats.org/officeDocument/2006/relationships/hyperlink" Target="https://my.zakupki.prom.ua/remote/dispatcher/state_purchase_view/34681548" TargetMode="External"/><Relationship Id="rId1089" Type="http://schemas.openxmlformats.org/officeDocument/2006/relationships/hyperlink" Target="https://my.zakupki.prom.ua/remote/dispatcher/state_purchase_lot_view/740605" TargetMode="External"/><Relationship Id="rId16" Type="http://schemas.openxmlformats.org/officeDocument/2006/relationships/hyperlink" Target="https://my.zakupki.prom.ua/remote/dispatcher/state_purchase_view/34697706" TargetMode="External"/><Relationship Id="rId221" Type="http://schemas.openxmlformats.org/officeDocument/2006/relationships/hyperlink" Target="https://my.zakupki.prom.ua/remote/dispatcher/state_purchase_view/34694289" TargetMode="External"/><Relationship Id="rId319" Type="http://schemas.openxmlformats.org/officeDocument/2006/relationships/hyperlink" Target="https://my.zakupki.prom.ua/remote/dispatcher/state_purchase_view/34691603" TargetMode="External"/><Relationship Id="rId526" Type="http://schemas.openxmlformats.org/officeDocument/2006/relationships/hyperlink" Target="https://my.zakupki.prom.ua/remote/dispatcher/state_purchase_lot_view/740721" TargetMode="External"/><Relationship Id="rId733" Type="http://schemas.openxmlformats.org/officeDocument/2006/relationships/hyperlink" Target="https://my.zakupki.prom.ua/remote/dispatcher/state_purchase_view/34684439" TargetMode="External"/><Relationship Id="rId940" Type="http://schemas.openxmlformats.org/officeDocument/2006/relationships/hyperlink" Target="https://my.zakupki.prom.ua/remote/dispatcher/state_purchase_view/34680578" TargetMode="External"/><Relationship Id="rId1016" Type="http://schemas.openxmlformats.org/officeDocument/2006/relationships/hyperlink" Target="https://my.zakupki.prom.ua/remote/dispatcher/state_purchase_view/34679389" TargetMode="External"/><Relationship Id="rId165" Type="http://schemas.openxmlformats.org/officeDocument/2006/relationships/hyperlink" Target="https://my.zakupki.prom.ua/remote/dispatcher/state_purchase_view/34695539" TargetMode="External"/><Relationship Id="rId372" Type="http://schemas.openxmlformats.org/officeDocument/2006/relationships/hyperlink" Target="https://my.zakupki.prom.ua/remote/dispatcher/state_purchase_view/34690803" TargetMode="External"/><Relationship Id="rId677" Type="http://schemas.openxmlformats.org/officeDocument/2006/relationships/hyperlink" Target="https://my.zakupki.prom.ua/remote/dispatcher/state_purchase_view/34685693" TargetMode="External"/><Relationship Id="rId800" Type="http://schemas.openxmlformats.org/officeDocument/2006/relationships/hyperlink" Target="https://my.zakupki.prom.ua/remote/dispatcher/state_purchase_view/34683179" TargetMode="External"/><Relationship Id="rId232" Type="http://schemas.openxmlformats.org/officeDocument/2006/relationships/hyperlink" Target="https://my.zakupki.prom.ua/remote/dispatcher/state_purchase_view/34694162" TargetMode="External"/><Relationship Id="rId884" Type="http://schemas.openxmlformats.org/officeDocument/2006/relationships/hyperlink" Target="https://my.zakupki.prom.ua/remote/dispatcher/state_purchase_view/34681371" TargetMode="External"/><Relationship Id="rId27" Type="http://schemas.openxmlformats.org/officeDocument/2006/relationships/hyperlink" Target="https://my.zakupki.prom.ua/remote/dispatcher/state_purchase_view/34697565" TargetMode="External"/><Relationship Id="rId537" Type="http://schemas.openxmlformats.org/officeDocument/2006/relationships/hyperlink" Target="https://my.zakupki.prom.ua/remote/dispatcher/state_purchase_view/34688192" TargetMode="External"/><Relationship Id="rId744" Type="http://schemas.openxmlformats.org/officeDocument/2006/relationships/hyperlink" Target="https://my.zakupki.prom.ua/remote/dispatcher/state_purchase_view/34683055" TargetMode="External"/><Relationship Id="rId951" Type="http://schemas.openxmlformats.org/officeDocument/2006/relationships/hyperlink" Target="https://my.zakupki.prom.ua/remote/dispatcher/state_purchase_view/34680118" TargetMode="External"/><Relationship Id="rId80" Type="http://schemas.openxmlformats.org/officeDocument/2006/relationships/hyperlink" Target="https://my.zakupki.prom.ua/remote/dispatcher/state_purchase_lot_view/740799" TargetMode="External"/><Relationship Id="rId176" Type="http://schemas.openxmlformats.org/officeDocument/2006/relationships/hyperlink" Target="https://my.zakupki.prom.ua/remote/dispatcher/state_purchase_lot_view/740783" TargetMode="External"/><Relationship Id="rId383" Type="http://schemas.openxmlformats.org/officeDocument/2006/relationships/hyperlink" Target="https://my.zakupki.prom.ua/remote/dispatcher/state_purchase_view/34690524" TargetMode="External"/><Relationship Id="rId590" Type="http://schemas.openxmlformats.org/officeDocument/2006/relationships/hyperlink" Target="https://my.zakupki.prom.ua/remote/dispatcher/state_purchase_view/34687219" TargetMode="External"/><Relationship Id="rId604" Type="http://schemas.openxmlformats.org/officeDocument/2006/relationships/hyperlink" Target="https://my.zakupki.prom.ua/remote/dispatcher/state_purchase_view/34687209" TargetMode="External"/><Relationship Id="rId811" Type="http://schemas.openxmlformats.org/officeDocument/2006/relationships/hyperlink" Target="https://my.zakupki.prom.ua/remote/dispatcher/state_purchase_view/34682933" TargetMode="External"/><Relationship Id="rId1027" Type="http://schemas.openxmlformats.org/officeDocument/2006/relationships/hyperlink" Target="https://my.zakupki.prom.ua/remote/dispatcher/state_purchase_view/34679321" TargetMode="External"/><Relationship Id="rId243" Type="http://schemas.openxmlformats.org/officeDocument/2006/relationships/hyperlink" Target="https://my.zakupki.prom.ua/remote/dispatcher/state_purchase_view/34693674" TargetMode="External"/><Relationship Id="rId450" Type="http://schemas.openxmlformats.org/officeDocument/2006/relationships/hyperlink" Target="https://my.zakupki.prom.ua/remote/dispatcher/state_purchase_view/34689293" TargetMode="External"/><Relationship Id="rId688" Type="http://schemas.openxmlformats.org/officeDocument/2006/relationships/hyperlink" Target="https://my.zakupki.prom.ua/remote/dispatcher/state_purchase_view/34685611" TargetMode="External"/><Relationship Id="rId895" Type="http://schemas.openxmlformats.org/officeDocument/2006/relationships/hyperlink" Target="https://my.zakupki.prom.ua/remote/dispatcher/state_purchase_view/34681284" TargetMode="External"/><Relationship Id="rId909" Type="http://schemas.openxmlformats.org/officeDocument/2006/relationships/hyperlink" Target="https://my.zakupki.prom.ua/remote/dispatcher/state_purchase_view/34681175" TargetMode="External"/><Relationship Id="rId1080" Type="http://schemas.openxmlformats.org/officeDocument/2006/relationships/hyperlink" Target="https://my.zakupki.prom.ua/remote/dispatcher/state_purchase_lot_view/740596" TargetMode="External"/><Relationship Id="rId38" Type="http://schemas.openxmlformats.org/officeDocument/2006/relationships/hyperlink" Target="https://my.zakupki.prom.ua/remote/dispatcher/state_purchase_view/34697358" TargetMode="External"/><Relationship Id="rId103" Type="http://schemas.openxmlformats.org/officeDocument/2006/relationships/hyperlink" Target="https://my.zakupki.prom.ua/remote/dispatcher/state_purchase_view/34696495" TargetMode="External"/><Relationship Id="rId310" Type="http://schemas.openxmlformats.org/officeDocument/2006/relationships/hyperlink" Target="https://my.zakupki.prom.ua/remote/dispatcher/state_purchase_lot_view/740759" TargetMode="External"/><Relationship Id="rId548" Type="http://schemas.openxmlformats.org/officeDocument/2006/relationships/hyperlink" Target="https://my.zakupki.prom.ua/remote/dispatcher/state_purchase_view/34687877" TargetMode="External"/><Relationship Id="rId755" Type="http://schemas.openxmlformats.org/officeDocument/2006/relationships/hyperlink" Target="https://my.zakupki.prom.ua/remote/dispatcher/state_purchase_view/34684115" TargetMode="External"/><Relationship Id="rId962" Type="http://schemas.openxmlformats.org/officeDocument/2006/relationships/hyperlink" Target="https://my.zakupki.prom.ua/remote/dispatcher/state_purchase_view/34679915" TargetMode="External"/><Relationship Id="rId91" Type="http://schemas.openxmlformats.org/officeDocument/2006/relationships/hyperlink" Target="https://my.zakupki.prom.ua/remote/dispatcher/state_purchase_view/34696616" TargetMode="External"/><Relationship Id="rId187" Type="http://schemas.openxmlformats.org/officeDocument/2006/relationships/hyperlink" Target="https://my.zakupki.prom.ua/remote/dispatcher/state_purchase_view/34695080" TargetMode="External"/><Relationship Id="rId394" Type="http://schemas.openxmlformats.org/officeDocument/2006/relationships/hyperlink" Target="https://my.zakupki.prom.ua/remote/dispatcher/state_purchase_view/34690335" TargetMode="External"/><Relationship Id="rId408" Type="http://schemas.openxmlformats.org/officeDocument/2006/relationships/hyperlink" Target="https://my.zakupki.prom.ua/remote/dispatcher/state_purchase_view/34690203" TargetMode="External"/><Relationship Id="rId615" Type="http://schemas.openxmlformats.org/officeDocument/2006/relationships/hyperlink" Target="https://my.zakupki.prom.ua/remote/dispatcher/state_purchase_view/34687057" TargetMode="External"/><Relationship Id="rId822" Type="http://schemas.openxmlformats.org/officeDocument/2006/relationships/hyperlink" Target="https://my.zakupki.prom.ua/remote/dispatcher/state_purchase_view/34682866" TargetMode="External"/><Relationship Id="rId1038" Type="http://schemas.openxmlformats.org/officeDocument/2006/relationships/hyperlink" Target="https://my.zakupki.prom.ua/remote/dispatcher/state_purchase_lot_view/740611" TargetMode="External"/><Relationship Id="rId254" Type="http://schemas.openxmlformats.org/officeDocument/2006/relationships/hyperlink" Target="https://my.zakupki.prom.ua/remote/dispatcher/state_purchase_view/34693571" TargetMode="External"/><Relationship Id="rId699" Type="http://schemas.openxmlformats.org/officeDocument/2006/relationships/hyperlink" Target="https://my.zakupki.prom.ua/remote/dispatcher/state_purchase_view/34685228" TargetMode="External"/><Relationship Id="rId1091" Type="http://schemas.openxmlformats.org/officeDocument/2006/relationships/hyperlink" Target="https://my.zakupki.prom.ua/remote/dispatcher/state_purchase_lot_view/740607" TargetMode="External"/><Relationship Id="rId1105" Type="http://schemas.openxmlformats.org/officeDocument/2006/relationships/hyperlink" Target="https://my.zakupki.prom.ua/remote/dispatcher/state_purchase_lot_view/740583" TargetMode="External"/><Relationship Id="rId49" Type="http://schemas.openxmlformats.org/officeDocument/2006/relationships/hyperlink" Target="https://my.zakupki.prom.ua/remote/dispatcher/state_purchase_lot_view/740818" TargetMode="External"/><Relationship Id="rId114" Type="http://schemas.openxmlformats.org/officeDocument/2006/relationships/hyperlink" Target="https://my.zakupki.prom.ua/remote/dispatcher/state_purchase_view/34696406" TargetMode="External"/><Relationship Id="rId461" Type="http://schemas.openxmlformats.org/officeDocument/2006/relationships/hyperlink" Target="https://my.zakupki.prom.ua/remote/dispatcher/state_purchase_lot_view/740729" TargetMode="External"/><Relationship Id="rId559" Type="http://schemas.openxmlformats.org/officeDocument/2006/relationships/hyperlink" Target="https://my.zakupki.prom.ua/remote/dispatcher/state_purchase_lot_view/740715" TargetMode="External"/><Relationship Id="rId766" Type="http://schemas.openxmlformats.org/officeDocument/2006/relationships/hyperlink" Target="https://my.zakupki.prom.ua/remote/dispatcher/state_purchase_view/34683923" TargetMode="External"/><Relationship Id="rId198" Type="http://schemas.openxmlformats.org/officeDocument/2006/relationships/hyperlink" Target="https://my.zakupki.prom.ua/remote/dispatcher/state_purchase_view/34694987" TargetMode="External"/><Relationship Id="rId321" Type="http://schemas.openxmlformats.org/officeDocument/2006/relationships/hyperlink" Target="https://my.zakupki.prom.ua/remote/dispatcher/state_purchase_view/34692120" TargetMode="External"/><Relationship Id="rId419" Type="http://schemas.openxmlformats.org/officeDocument/2006/relationships/hyperlink" Target="https://my.zakupki.prom.ua/remote/dispatcher/state_purchase_view/34689879" TargetMode="External"/><Relationship Id="rId626" Type="http://schemas.openxmlformats.org/officeDocument/2006/relationships/hyperlink" Target="https://my.zakupki.prom.ua/remote/dispatcher/state_purchase_view/34686697" TargetMode="External"/><Relationship Id="rId973" Type="http://schemas.openxmlformats.org/officeDocument/2006/relationships/hyperlink" Target="https://my.zakupki.prom.ua/remote/dispatcher/state_purchase_view/34679843" TargetMode="External"/><Relationship Id="rId1049" Type="http://schemas.openxmlformats.org/officeDocument/2006/relationships/hyperlink" Target="https://my.zakupki.prom.ua/remote/dispatcher/state_purchase_view/34678985" TargetMode="External"/><Relationship Id="rId833" Type="http://schemas.openxmlformats.org/officeDocument/2006/relationships/hyperlink" Target="https://my.zakupki.prom.ua/remote/dispatcher/state_purchase_view/34682420" TargetMode="External"/><Relationship Id="rId1116" Type="http://schemas.openxmlformats.org/officeDocument/2006/relationships/hyperlink" Target="https://my.zakupki.prom.ua/remote/dispatcher/state_purchase_view/34678522" TargetMode="External"/><Relationship Id="rId265" Type="http://schemas.openxmlformats.org/officeDocument/2006/relationships/hyperlink" Target="https://my.zakupki.prom.ua/remote/dispatcher/state_purchase_view/34693405" TargetMode="External"/><Relationship Id="rId472" Type="http://schemas.openxmlformats.org/officeDocument/2006/relationships/hyperlink" Target="https://my.zakupki.prom.ua/remote/dispatcher/state_purchase_view/34688467" TargetMode="External"/><Relationship Id="rId900" Type="http://schemas.openxmlformats.org/officeDocument/2006/relationships/hyperlink" Target="https://my.zakupki.prom.ua/remote/dispatcher/state_purchase_lot_view/740637" TargetMode="External"/><Relationship Id="rId125" Type="http://schemas.openxmlformats.org/officeDocument/2006/relationships/hyperlink" Target="https://my.zakupki.prom.ua/remote/dispatcher/state_purchase_view/34695625" TargetMode="External"/><Relationship Id="rId332" Type="http://schemas.openxmlformats.org/officeDocument/2006/relationships/hyperlink" Target="https://my.zakupki.prom.ua/remote/dispatcher/state_purchase_view/34691848" TargetMode="External"/><Relationship Id="rId777" Type="http://schemas.openxmlformats.org/officeDocument/2006/relationships/hyperlink" Target="https://my.zakupki.prom.ua/remote/dispatcher/state_purchase_view/34683459" TargetMode="External"/><Relationship Id="rId984" Type="http://schemas.openxmlformats.org/officeDocument/2006/relationships/hyperlink" Target="https://my.zakupki.prom.ua/remote/dispatcher/state_purchase_view/34679770" TargetMode="External"/><Relationship Id="rId637" Type="http://schemas.openxmlformats.org/officeDocument/2006/relationships/hyperlink" Target="https://my.zakupki.prom.ua/remote/dispatcher/state_purchase_view/34686420" TargetMode="External"/><Relationship Id="rId844" Type="http://schemas.openxmlformats.org/officeDocument/2006/relationships/hyperlink" Target="https://my.zakupki.prom.ua/remote/dispatcher/state_purchase_view/34682319" TargetMode="External"/><Relationship Id="rId276" Type="http://schemas.openxmlformats.org/officeDocument/2006/relationships/hyperlink" Target="https://my.zakupki.prom.ua/remote/dispatcher/state_purchase_view/34693071" TargetMode="External"/><Relationship Id="rId483" Type="http://schemas.openxmlformats.org/officeDocument/2006/relationships/hyperlink" Target="https://my.zakupki.prom.ua/remote/dispatcher/state_purchase_view/34688797" TargetMode="External"/><Relationship Id="rId690" Type="http://schemas.openxmlformats.org/officeDocument/2006/relationships/hyperlink" Target="https://my.zakupki.prom.ua/remote/dispatcher/state_purchase_view/34685610" TargetMode="External"/><Relationship Id="rId704" Type="http://schemas.openxmlformats.org/officeDocument/2006/relationships/hyperlink" Target="https://my.zakupki.prom.ua/remote/dispatcher/state_purchase_view/34685170" TargetMode="External"/><Relationship Id="rId911" Type="http://schemas.openxmlformats.org/officeDocument/2006/relationships/hyperlink" Target="https://my.zakupki.prom.ua/remote/dispatcher/state_purchase_view/34681081" TargetMode="External"/><Relationship Id="rId1127" Type="http://schemas.openxmlformats.org/officeDocument/2006/relationships/hyperlink" Target="https://my.zakupki.prom.ua/remote/dispatcher/state_purchase_lot_view/740566" TargetMode="External"/><Relationship Id="rId40" Type="http://schemas.openxmlformats.org/officeDocument/2006/relationships/hyperlink" Target="https://my.zakupki.prom.ua/remote/dispatcher/state_purchase_lot_view/740809" TargetMode="External"/><Relationship Id="rId136" Type="http://schemas.openxmlformats.org/officeDocument/2006/relationships/hyperlink" Target="https://my.zakupki.prom.ua/remote/dispatcher/state_purchase_view/34696126" TargetMode="External"/><Relationship Id="rId343" Type="http://schemas.openxmlformats.org/officeDocument/2006/relationships/hyperlink" Target="https://my.zakupki.prom.ua/remote/dispatcher/state_purchase_view/34691645" TargetMode="External"/><Relationship Id="rId550" Type="http://schemas.openxmlformats.org/officeDocument/2006/relationships/hyperlink" Target="https://my.zakupki.prom.ua/remote/dispatcher/state_purchase_lot_view/740706" TargetMode="External"/><Relationship Id="rId788" Type="http://schemas.openxmlformats.org/officeDocument/2006/relationships/hyperlink" Target="https://my.zakupki.prom.ua/remote/dispatcher/state_purchase_view/34683325" TargetMode="External"/><Relationship Id="rId995" Type="http://schemas.openxmlformats.org/officeDocument/2006/relationships/hyperlink" Target="https://my.zakupki.prom.ua/remote/dispatcher/state_purchase_view/34679649" TargetMode="External"/><Relationship Id="rId203" Type="http://schemas.openxmlformats.org/officeDocument/2006/relationships/hyperlink" Target="https://my.zakupki.prom.ua/remote/dispatcher/state_purchase_view/34694894" TargetMode="External"/><Relationship Id="rId648" Type="http://schemas.openxmlformats.org/officeDocument/2006/relationships/hyperlink" Target="https://my.zakupki.prom.ua/remote/dispatcher/state_purchase_view/34686044" TargetMode="External"/><Relationship Id="rId855" Type="http://schemas.openxmlformats.org/officeDocument/2006/relationships/hyperlink" Target="https://my.zakupki.prom.ua/remote/dispatcher/state_purchase_view/34682143" TargetMode="External"/><Relationship Id="rId1040" Type="http://schemas.openxmlformats.org/officeDocument/2006/relationships/hyperlink" Target="https://my.zakupki.prom.ua/remote/dispatcher/state_purchase_lot_view/740613" TargetMode="External"/><Relationship Id="rId287" Type="http://schemas.openxmlformats.org/officeDocument/2006/relationships/hyperlink" Target="https://my.zakupki.prom.ua/remote/dispatcher/state_purchase_view/34692852" TargetMode="External"/><Relationship Id="rId410" Type="http://schemas.openxmlformats.org/officeDocument/2006/relationships/hyperlink" Target="https://my.zakupki.prom.ua/remote/dispatcher/state_purchase_view/34690178" TargetMode="External"/><Relationship Id="rId494" Type="http://schemas.openxmlformats.org/officeDocument/2006/relationships/hyperlink" Target="https://my.zakupki.prom.ua/remote/dispatcher/state_purchase_view/34688618" TargetMode="External"/><Relationship Id="rId508" Type="http://schemas.openxmlformats.org/officeDocument/2006/relationships/hyperlink" Target="https://my.zakupki.prom.ua/remote/dispatcher/state_purchase_view/34688487" TargetMode="External"/><Relationship Id="rId715" Type="http://schemas.openxmlformats.org/officeDocument/2006/relationships/hyperlink" Target="https://my.zakupki.prom.ua/remote/dispatcher/state_purchase_view/34684953" TargetMode="External"/><Relationship Id="rId922" Type="http://schemas.openxmlformats.org/officeDocument/2006/relationships/hyperlink" Target="https://my.zakupki.prom.ua/remote/dispatcher/state_purchase_view/34680902" TargetMode="External"/><Relationship Id="rId147" Type="http://schemas.openxmlformats.org/officeDocument/2006/relationships/hyperlink" Target="https://my.zakupki.prom.ua/remote/dispatcher/state_purchase_view/34695756" TargetMode="External"/><Relationship Id="rId354" Type="http://schemas.openxmlformats.org/officeDocument/2006/relationships/hyperlink" Target="https://my.zakupki.prom.ua/remote/dispatcher/state_purchase_view/34691147" TargetMode="External"/><Relationship Id="rId799" Type="http://schemas.openxmlformats.org/officeDocument/2006/relationships/hyperlink" Target="https://my.zakupki.prom.ua/remote/dispatcher/state_purchase_view/34683184" TargetMode="External"/><Relationship Id="rId51" Type="http://schemas.openxmlformats.org/officeDocument/2006/relationships/hyperlink" Target="https://my.zakupki.prom.ua/remote/dispatcher/state_purchase_lot_view/740820" TargetMode="External"/><Relationship Id="rId561" Type="http://schemas.openxmlformats.org/officeDocument/2006/relationships/hyperlink" Target="https://my.zakupki.prom.ua/remote/dispatcher/state_purchase_lot_view/740717" TargetMode="External"/><Relationship Id="rId659" Type="http://schemas.openxmlformats.org/officeDocument/2006/relationships/hyperlink" Target="https://my.zakupki.prom.ua/remote/dispatcher/state_purchase_lot_view/740676" TargetMode="External"/><Relationship Id="rId866" Type="http://schemas.openxmlformats.org/officeDocument/2006/relationships/hyperlink" Target="https://my.zakupki.prom.ua/remote/dispatcher/state_purchase_view/34681999" TargetMode="External"/><Relationship Id="rId214" Type="http://schemas.openxmlformats.org/officeDocument/2006/relationships/hyperlink" Target="https://my.zakupki.prom.ua/remote/dispatcher/state_purchase_lot_view/740777" TargetMode="External"/><Relationship Id="rId298" Type="http://schemas.openxmlformats.org/officeDocument/2006/relationships/hyperlink" Target="https://my.zakupki.prom.ua/remote/dispatcher/state_purchase_view/34692745" TargetMode="External"/><Relationship Id="rId421" Type="http://schemas.openxmlformats.org/officeDocument/2006/relationships/hyperlink" Target="https://my.zakupki.prom.ua/remote/dispatcher/state_purchase_lot_view/740742" TargetMode="External"/><Relationship Id="rId519" Type="http://schemas.openxmlformats.org/officeDocument/2006/relationships/hyperlink" Target="https://my.zakupki.prom.ua/remote/dispatcher/state_purchase_view/34687276" TargetMode="External"/><Relationship Id="rId1051" Type="http://schemas.openxmlformats.org/officeDocument/2006/relationships/hyperlink" Target="https://my.zakupki.prom.ua/remote/dispatcher/state_purchase_view/34678953" TargetMode="External"/><Relationship Id="rId158" Type="http://schemas.openxmlformats.org/officeDocument/2006/relationships/hyperlink" Target="https://my.zakupki.prom.ua/remote/dispatcher/state_purchase_view/34695637" TargetMode="External"/><Relationship Id="rId726" Type="http://schemas.openxmlformats.org/officeDocument/2006/relationships/hyperlink" Target="https://my.zakupki.prom.ua/remote/dispatcher/state_purchase_view/34684763" TargetMode="External"/><Relationship Id="rId933" Type="http://schemas.openxmlformats.org/officeDocument/2006/relationships/hyperlink" Target="https://my.zakupki.prom.ua/remote/dispatcher/state_purchase_view/34680834" TargetMode="External"/><Relationship Id="rId1009" Type="http://schemas.openxmlformats.org/officeDocument/2006/relationships/hyperlink" Target="https://my.zakupki.prom.ua/remote/dispatcher/state_purchase_view/34679402" TargetMode="External"/><Relationship Id="rId62" Type="http://schemas.openxmlformats.org/officeDocument/2006/relationships/hyperlink" Target="https://my.zakupki.prom.ua/remote/dispatcher/state_purchase_lot_view/740776" TargetMode="External"/><Relationship Id="rId365" Type="http://schemas.openxmlformats.org/officeDocument/2006/relationships/hyperlink" Target="https://my.zakupki.prom.ua/remote/dispatcher/state_purchase_view/34690911" TargetMode="External"/><Relationship Id="rId572" Type="http://schemas.openxmlformats.org/officeDocument/2006/relationships/hyperlink" Target="https://my.zakupki.prom.ua/remote/dispatcher/state_purchase_view/34687704" TargetMode="External"/><Relationship Id="rId225" Type="http://schemas.openxmlformats.org/officeDocument/2006/relationships/hyperlink" Target="https://my.zakupki.prom.ua/remote/dispatcher/state_purchase_view/34694238" TargetMode="External"/><Relationship Id="rId432" Type="http://schemas.openxmlformats.org/officeDocument/2006/relationships/hyperlink" Target="https://my.zakupki.prom.ua/remote/dispatcher/state_purchase_view/34689692" TargetMode="External"/><Relationship Id="rId877" Type="http://schemas.openxmlformats.org/officeDocument/2006/relationships/hyperlink" Target="https://my.zakupki.prom.ua/remote/dispatcher/state_purchase_view/34681461" TargetMode="External"/><Relationship Id="rId1062" Type="http://schemas.openxmlformats.org/officeDocument/2006/relationships/hyperlink" Target="https://my.zakupki.prom.ua/remote/dispatcher/state_purchase_view/34678904" TargetMode="External"/><Relationship Id="rId737" Type="http://schemas.openxmlformats.org/officeDocument/2006/relationships/hyperlink" Target="https://my.zakupki.prom.ua/remote/dispatcher/state_purchase_view/34684395" TargetMode="External"/><Relationship Id="rId944" Type="http://schemas.openxmlformats.org/officeDocument/2006/relationships/hyperlink" Target="https://my.zakupki.prom.ua/remote/dispatcher/state_purchase_view/346804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43"/>
  <sheetViews>
    <sheetView tabSelected="1" workbookViewId="0">
      <pane ySplit="6" topLeftCell="A7" activePane="bottomLeft" state="frozen"/>
      <selection pane="bottomLeft"/>
    </sheetView>
  </sheetViews>
  <sheetFormatPr defaultColWidth="11.5546875" defaultRowHeight="14.4" x14ac:dyDescent="0.3"/>
  <cols>
    <col min="1" max="1" width="25"/>
    <col min="2" max="2" width="20"/>
    <col min="3" max="4" width="35"/>
    <col min="5" max="5" width="10"/>
    <col min="6" max="8" width="15"/>
    <col min="9" max="9" width="30"/>
    <col min="10" max="12" width="15"/>
    <col min="13" max="13" width="10"/>
    <col min="14" max="14" width="15"/>
    <col min="15" max="15" width="20"/>
    <col min="16" max="16" width="30"/>
    <col min="17" max="18" width="15"/>
    <col min="19" max="19" width="20"/>
    <col min="20" max="24" width="10"/>
    <col min="25" max="25" width="25"/>
    <col min="26" max="26" width="15"/>
    <col min="27" max="27" width="20"/>
    <col min="28" max="28" width="15"/>
    <col min="29" max="29" width="50"/>
    <col min="30" max="31" width="25"/>
    <col min="32" max="32" width="20"/>
    <col min="33" max="33" width="25"/>
    <col min="34" max="35" width="10"/>
  </cols>
  <sheetData>
    <row r="1" spans="1:35" x14ac:dyDescent="0.3">
      <c r="A1" s="1" t="s">
        <v>4850</v>
      </c>
    </row>
    <row r="2" spans="1:35" x14ac:dyDescent="0.3">
      <c r="A2" s="2" t="s">
        <v>2309</v>
      </c>
    </row>
    <row r="4" spans="1:35" x14ac:dyDescent="0.3">
      <c r="A4" s="1" t="s">
        <v>3954</v>
      </c>
    </row>
    <row r="5" spans="1:35" x14ac:dyDescent="0.3">
      <c r="A5" s="1" t="s">
        <v>2476</v>
      </c>
    </row>
    <row r="6" spans="1:35" ht="55.2" x14ac:dyDescent="0.3">
      <c r="A6" s="3" t="s">
        <v>1307</v>
      </c>
      <c r="B6" s="3" t="s">
        <v>3506</v>
      </c>
      <c r="C6" s="3" t="s">
        <v>3649</v>
      </c>
      <c r="D6" s="3" t="s">
        <v>3046</v>
      </c>
      <c r="E6" s="3" t="s">
        <v>3236</v>
      </c>
      <c r="F6" s="3" t="s">
        <v>3452</v>
      </c>
      <c r="G6" s="3" t="s">
        <v>3429</v>
      </c>
      <c r="H6" s="3" t="s">
        <v>2322</v>
      </c>
      <c r="I6" s="3" t="s">
        <v>2816</v>
      </c>
      <c r="J6" s="3" t="s">
        <v>3450</v>
      </c>
      <c r="K6" s="3" t="s">
        <v>3451</v>
      </c>
      <c r="L6" s="3" t="s">
        <v>3221</v>
      </c>
      <c r="M6" s="3" t="s">
        <v>2464</v>
      </c>
      <c r="N6" s="3" t="s">
        <v>2799</v>
      </c>
      <c r="O6" s="3" t="s">
        <v>3986</v>
      </c>
      <c r="P6" s="3" t="s">
        <v>3687</v>
      </c>
      <c r="Q6" s="3" t="s">
        <v>3831</v>
      </c>
      <c r="R6" s="3" t="s">
        <v>3349</v>
      </c>
      <c r="S6" s="3" t="s">
        <v>3959</v>
      </c>
      <c r="T6" s="3" t="s">
        <v>3424</v>
      </c>
      <c r="U6" s="3" t="s">
        <v>3658</v>
      </c>
      <c r="V6" s="3" t="s">
        <v>3659</v>
      </c>
      <c r="W6" s="3" t="s">
        <v>3656</v>
      </c>
      <c r="X6" s="3" t="s">
        <v>3657</v>
      </c>
      <c r="Y6" s="3" t="s">
        <v>2702</v>
      </c>
      <c r="Z6" s="3" t="s">
        <v>2467</v>
      </c>
      <c r="AA6" s="3" t="s">
        <v>3395</v>
      </c>
      <c r="AB6" s="3" t="s">
        <v>2415</v>
      </c>
      <c r="AC6" s="3" t="s">
        <v>3401</v>
      </c>
      <c r="AD6" s="3" t="s">
        <v>3655</v>
      </c>
      <c r="AE6" s="3" t="s">
        <v>4716</v>
      </c>
      <c r="AF6" s="3" t="s">
        <v>3928</v>
      </c>
      <c r="AG6" s="3" t="s">
        <v>2498</v>
      </c>
      <c r="AH6" s="3" t="s">
        <v>3966</v>
      </c>
      <c r="AI6" s="3" t="s">
        <v>3965</v>
      </c>
    </row>
    <row r="7" spans="1:35" x14ac:dyDescent="0.3">
      <c r="A7" s="1" t="s">
        <v>2307</v>
      </c>
      <c r="B7" s="2" t="str">
        <f>HYPERLINK("https://my.zakupki.prom.ua/remote/dispatcher/state_purchase_view/34698189")</f>
        <v>https://my.zakupki.prom.ua/remote/dispatcher/state_purchase_view/34698189</v>
      </c>
      <c r="C7" s="1" t="s">
        <v>2314</v>
      </c>
      <c r="D7" s="1" t="s">
        <v>470</v>
      </c>
      <c r="E7" s="4">
        <v>3000</v>
      </c>
      <c r="F7" s="5">
        <v>65</v>
      </c>
      <c r="G7" s="1" t="s">
        <v>4901</v>
      </c>
      <c r="H7" s="1" t="s">
        <v>118</v>
      </c>
      <c r="I7" s="1" t="s">
        <v>2905</v>
      </c>
      <c r="J7" s="5">
        <v>195000</v>
      </c>
      <c r="K7" s="1" t="s">
        <v>3394</v>
      </c>
      <c r="L7" s="5">
        <v>1950</v>
      </c>
      <c r="M7" s="1" t="s">
        <v>2308</v>
      </c>
      <c r="N7" s="1" t="s">
        <v>3983</v>
      </c>
      <c r="O7" s="1" t="s">
        <v>2521</v>
      </c>
      <c r="P7" s="1" t="s">
        <v>2515</v>
      </c>
      <c r="Q7" s="1" t="s">
        <v>4831</v>
      </c>
      <c r="R7" s="1" t="s">
        <v>4331</v>
      </c>
      <c r="S7" s="1" t="s">
        <v>4971</v>
      </c>
      <c r="T7" s="6">
        <v>44593</v>
      </c>
      <c r="U7" s="6">
        <v>44593</v>
      </c>
      <c r="V7" s="7">
        <v>0.61922061181712962</v>
      </c>
      <c r="W7" s="6">
        <v>44609</v>
      </c>
      <c r="X7" s="7">
        <v>0.66666666666666663</v>
      </c>
      <c r="Y7" s="1" t="s">
        <v>4860</v>
      </c>
      <c r="Z7" s="5">
        <v>340</v>
      </c>
      <c r="AA7" s="1" t="s">
        <v>3403</v>
      </c>
      <c r="AB7" s="1"/>
      <c r="AC7" s="1"/>
      <c r="AD7" s="1"/>
      <c r="AE7" s="1" t="s">
        <v>3774</v>
      </c>
      <c r="AF7" s="1" t="s">
        <v>9</v>
      </c>
      <c r="AG7" s="4">
        <v>35</v>
      </c>
      <c r="AH7" s="1"/>
      <c r="AI7" s="6">
        <v>44923</v>
      </c>
    </row>
    <row r="8" spans="1:35" x14ac:dyDescent="0.3">
      <c r="A8" s="1" t="s">
        <v>2306</v>
      </c>
      <c r="B8" s="2" t="str">
        <f>HYPERLINK("https://my.zakupki.prom.ua/remote/dispatcher/state_purchase_view/34696664")</f>
        <v>https://my.zakupki.prom.ua/remote/dispatcher/state_purchase_view/34696664</v>
      </c>
      <c r="C8" s="1" t="s">
        <v>3321</v>
      </c>
      <c r="D8" s="1" t="s">
        <v>1263</v>
      </c>
      <c r="E8" s="1" t="s">
        <v>4903</v>
      </c>
      <c r="F8" s="1" t="s">
        <v>4903</v>
      </c>
      <c r="G8" s="1" t="s">
        <v>4903</v>
      </c>
      <c r="H8" s="1" t="s">
        <v>49</v>
      </c>
      <c r="I8" s="1" t="s">
        <v>2937</v>
      </c>
      <c r="J8" s="5">
        <v>14000</v>
      </c>
      <c r="K8" s="1" t="s">
        <v>3394</v>
      </c>
      <c r="L8" s="5">
        <v>70</v>
      </c>
      <c r="M8" s="1" t="s">
        <v>2308</v>
      </c>
      <c r="N8" s="1" t="s">
        <v>3983</v>
      </c>
      <c r="O8" s="1" t="s">
        <v>2521</v>
      </c>
      <c r="P8" s="1" t="s">
        <v>3956</v>
      </c>
      <c r="Q8" s="1" t="s">
        <v>2497</v>
      </c>
      <c r="R8" s="1" t="s">
        <v>4627</v>
      </c>
      <c r="S8" s="1" t="s">
        <v>4937</v>
      </c>
      <c r="T8" s="6">
        <v>44593</v>
      </c>
      <c r="U8" s="6">
        <v>44599</v>
      </c>
      <c r="V8" s="7">
        <v>0</v>
      </c>
      <c r="W8" s="6">
        <v>44602</v>
      </c>
      <c r="X8" s="7">
        <v>0</v>
      </c>
      <c r="Y8" s="1" t="s">
        <v>4860</v>
      </c>
      <c r="Z8" s="5">
        <v>17</v>
      </c>
      <c r="AA8" s="1" t="s">
        <v>3403</v>
      </c>
      <c r="AB8" s="1"/>
      <c r="AC8" s="1"/>
      <c r="AD8" s="1"/>
      <c r="AE8" s="1" t="s">
        <v>3734</v>
      </c>
      <c r="AF8" s="1" t="s">
        <v>9</v>
      </c>
      <c r="AG8" s="4">
        <v>3</v>
      </c>
      <c r="AH8" s="1"/>
      <c r="AI8" s="6">
        <v>44985</v>
      </c>
    </row>
    <row r="9" spans="1:35" x14ac:dyDescent="0.3">
      <c r="A9" s="1" t="s">
        <v>2305</v>
      </c>
      <c r="B9" s="2" t="str">
        <f>HYPERLINK("https://my.zakupki.prom.ua/remote/dispatcher/state_purchase_view/34698138")</f>
        <v>https://my.zakupki.prom.ua/remote/dispatcher/state_purchase_view/34698138</v>
      </c>
      <c r="C9" s="1" t="s">
        <v>2775</v>
      </c>
      <c r="D9" s="1" t="s">
        <v>387</v>
      </c>
      <c r="E9" s="4">
        <v>900000</v>
      </c>
      <c r="F9" s="5">
        <v>4.46</v>
      </c>
      <c r="G9" s="1" t="s">
        <v>3235</v>
      </c>
      <c r="H9" s="1" t="s">
        <v>361</v>
      </c>
      <c r="I9" s="1" t="s">
        <v>2570</v>
      </c>
      <c r="J9" s="5">
        <v>4014000</v>
      </c>
      <c r="K9" s="1" t="s">
        <v>3394</v>
      </c>
      <c r="L9" s="5">
        <v>20070</v>
      </c>
      <c r="M9" s="1" t="s">
        <v>2308</v>
      </c>
      <c r="N9" s="1" t="s">
        <v>3983</v>
      </c>
      <c r="O9" s="1" t="s">
        <v>2521</v>
      </c>
      <c r="P9" s="1" t="s">
        <v>2515</v>
      </c>
      <c r="Q9" s="1" t="s">
        <v>4798</v>
      </c>
      <c r="R9" s="1" t="s">
        <v>4361</v>
      </c>
      <c r="S9" s="1" t="s">
        <v>4971</v>
      </c>
      <c r="T9" s="6">
        <v>44593</v>
      </c>
      <c r="U9" s="6">
        <v>44593</v>
      </c>
      <c r="V9" s="7">
        <v>0.61862646903935181</v>
      </c>
      <c r="W9" s="6">
        <v>44624</v>
      </c>
      <c r="X9" s="7">
        <v>0</v>
      </c>
      <c r="Y9" s="1" t="s">
        <v>4860</v>
      </c>
      <c r="Z9" s="5">
        <v>3400</v>
      </c>
      <c r="AA9" s="1" t="s">
        <v>3403</v>
      </c>
      <c r="AB9" s="1"/>
      <c r="AC9" s="1"/>
      <c r="AD9" s="1"/>
      <c r="AE9" s="1" t="s">
        <v>3722</v>
      </c>
      <c r="AF9" s="1" t="s">
        <v>9</v>
      </c>
      <c r="AG9" s="4">
        <v>2</v>
      </c>
      <c r="AH9" s="6">
        <v>44630</v>
      </c>
      <c r="AI9" s="6">
        <v>44926</v>
      </c>
    </row>
    <row r="10" spans="1:35" x14ac:dyDescent="0.3">
      <c r="A10" s="1" t="s">
        <v>2304</v>
      </c>
      <c r="B10" s="2" t="str">
        <f>HYPERLINK("https://my.zakupki.prom.ua/remote/dispatcher/state_purchase_view/34697792")</f>
        <v>https://my.zakupki.prom.ua/remote/dispatcher/state_purchase_view/34697792</v>
      </c>
      <c r="C10" s="1" t="s">
        <v>2318</v>
      </c>
      <c r="D10" s="1" t="s">
        <v>1144</v>
      </c>
      <c r="E10" s="4">
        <v>1</v>
      </c>
      <c r="F10" s="5">
        <v>126716.4</v>
      </c>
      <c r="G10" s="1" t="s">
        <v>4940</v>
      </c>
      <c r="H10" s="1" t="s">
        <v>877</v>
      </c>
      <c r="I10" s="1" t="s">
        <v>3458</v>
      </c>
      <c r="J10" s="5">
        <v>126716.4</v>
      </c>
      <c r="K10" s="1" t="s">
        <v>3394</v>
      </c>
      <c r="L10" s="5">
        <v>633.58000000000004</v>
      </c>
      <c r="M10" s="1" t="s">
        <v>2308</v>
      </c>
      <c r="N10" s="1" t="s">
        <v>3983</v>
      </c>
      <c r="O10" s="1" t="s">
        <v>2521</v>
      </c>
      <c r="P10" s="1" t="s">
        <v>3956</v>
      </c>
      <c r="Q10" s="1" t="s">
        <v>4805</v>
      </c>
      <c r="R10" s="1" t="s">
        <v>4386</v>
      </c>
      <c r="S10" s="1" t="s">
        <v>4937</v>
      </c>
      <c r="T10" s="6">
        <v>44593</v>
      </c>
      <c r="U10" s="6">
        <v>44599</v>
      </c>
      <c r="V10" s="7">
        <v>0.75</v>
      </c>
      <c r="W10" s="6">
        <v>44602</v>
      </c>
      <c r="X10" s="7">
        <v>0.75</v>
      </c>
      <c r="Y10" s="1" t="s">
        <v>4860</v>
      </c>
      <c r="Z10" s="5">
        <v>340</v>
      </c>
      <c r="AA10" s="1" t="s">
        <v>3403</v>
      </c>
      <c r="AB10" s="1"/>
      <c r="AC10" s="1"/>
      <c r="AD10" s="1"/>
      <c r="AE10" s="1" t="s">
        <v>3729</v>
      </c>
      <c r="AF10" s="1" t="s">
        <v>9</v>
      </c>
      <c r="AG10" s="1" t="s">
        <v>9</v>
      </c>
      <c r="AH10" s="1"/>
      <c r="AI10" s="6">
        <v>44651</v>
      </c>
    </row>
    <row r="11" spans="1:35" x14ac:dyDescent="0.3">
      <c r="A11" s="1" t="s">
        <v>1552</v>
      </c>
      <c r="B11" s="2" t="str">
        <f>HYPERLINK("https://my.zakupki.prom.ua/remote/dispatcher/state_purchase_view/34697753")</f>
        <v>https://my.zakupki.prom.ua/remote/dispatcher/state_purchase_view/34697753</v>
      </c>
      <c r="C11" s="1" t="s">
        <v>3855</v>
      </c>
      <c r="D11" s="1" t="s">
        <v>453</v>
      </c>
      <c r="E11" s="1" t="s">
        <v>4903</v>
      </c>
      <c r="F11" s="1" t="s">
        <v>4903</v>
      </c>
      <c r="G11" s="1" t="s">
        <v>4903</v>
      </c>
      <c r="H11" s="1" t="s">
        <v>785</v>
      </c>
      <c r="I11" s="1" t="s">
        <v>2466</v>
      </c>
      <c r="J11" s="5">
        <v>68000</v>
      </c>
      <c r="K11" s="1" t="s">
        <v>3394</v>
      </c>
      <c r="L11" s="5">
        <v>340</v>
      </c>
      <c r="M11" s="1" t="s">
        <v>2308</v>
      </c>
      <c r="N11" s="1" t="s">
        <v>3983</v>
      </c>
      <c r="O11" s="1" t="s">
        <v>2521</v>
      </c>
      <c r="P11" s="1" t="s">
        <v>3956</v>
      </c>
      <c r="Q11" s="1" t="s">
        <v>3878</v>
      </c>
      <c r="R11" s="1" t="s">
        <v>4634</v>
      </c>
      <c r="S11" s="1" t="s">
        <v>4937</v>
      </c>
      <c r="T11" s="6">
        <v>44593</v>
      </c>
      <c r="U11" s="6">
        <v>44599</v>
      </c>
      <c r="V11" s="7">
        <v>0.61410879629629633</v>
      </c>
      <c r="W11" s="6">
        <v>44603</v>
      </c>
      <c r="X11" s="7">
        <v>0.61410879629629633</v>
      </c>
      <c r="Y11" s="1" t="s">
        <v>4860</v>
      </c>
      <c r="Z11" s="5">
        <v>340</v>
      </c>
      <c r="AA11" s="1" t="s">
        <v>3403</v>
      </c>
      <c r="AB11" s="1"/>
      <c r="AC11" s="1"/>
      <c r="AD11" s="1"/>
      <c r="AE11" s="1" t="s">
        <v>3801</v>
      </c>
      <c r="AF11" s="1" t="s">
        <v>9</v>
      </c>
      <c r="AG11" s="1" t="s">
        <v>9</v>
      </c>
      <c r="AH11" s="1"/>
      <c r="AI11" s="6">
        <v>44926</v>
      </c>
    </row>
    <row r="12" spans="1:35" x14ac:dyDescent="0.3">
      <c r="A12" s="1" t="s">
        <v>1549</v>
      </c>
      <c r="B12" s="2" t="str">
        <f>HYPERLINK("https://my.zakupki.prom.ua/remote/dispatcher/state_purchase_view/34697747")</f>
        <v>https://my.zakupki.prom.ua/remote/dispatcher/state_purchase_view/34697747</v>
      </c>
      <c r="C12" s="1" t="s">
        <v>4917</v>
      </c>
      <c r="D12" s="1" t="s">
        <v>474</v>
      </c>
      <c r="E12" s="4">
        <v>600</v>
      </c>
      <c r="F12" s="5">
        <v>259.17</v>
      </c>
      <c r="G12" s="1" t="s">
        <v>4883</v>
      </c>
      <c r="H12" s="1" t="s">
        <v>188</v>
      </c>
      <c r="I12" s="1" t="s">
        <v>2999</v>
      </c>
      <c r="J12" s="5">
        <v>155500</v>
      </c>
      <c r="K12" s="1" t="s">
        <v>3394</v>
      </c>
      <c r="L12" s="5">
        <v>800</v>
      </c>
      <c r="M12" s="1" t="s">
        <v>2308</v>
      </c>
      <c r="N12" s="1" t="s">
        <v>3983</v>
      </c>
      <c r="O12" s="1" t="s">
        <v>1148</v>
      </c>
      <c r="P12" s="1" t="s">
        <v>3956</v>
      </c>
      <c r="Q12" s="1" t="s">
        <v>4794</v>
      </c>
      <c r="R12" s="1" t="s">
        <v>4478</v>
      </c>
      <c r="S12" s="1" t="s">
        <v>4937</v>
      </c>
      <c r="T12" s="6">
        <v>44593</v>
      </c>
      <c r="U12" s="6">
        <v>44600</v>
      </c>
      <c r="V12" s="7">
        <v>0</v>
      </c>
      <c r="W12" s="6">
        <v>44603</v>
      </c>
      <c r="X12" s="7">
        <v>0</v>
      </c>
      <c r="Y12" s="1" t="s">
        <v>4860</v>
      </c>
      <c r="Z12" s="5">
        <v>340</v>
      </c>
      <c r="AA12" s="1" t="s">
        <v>3403</v>
      </c>
      <c r="AB12" s="1"/>
      <c r="AC12" s="1"/>
      <c r="AD12" s="1"/>
      <c r="AE12" s="1" t="s">
        <v>3774</v>
      </c>
      <c r="AF12" s="1" t="s">
        <v>9</v>
      </c>
      <c r="AG12" s="1" t="s">
        <v>9</v>
      </c>
      <c r="AH12" s="1"/>
      <c r="AI12" s="6">
        <v>44926</v>
      </c>
    </row>
    <row r="13" spans="1:35" x14ac:dyDescent="0.3">
      <c r="A13" s="1" t="s">
        <v>1906</v>
      </c>
      <c r="B13" s="2" t="str">
        <f>HYPERLINK("https://my.zakupki.prom.ua/remote/dispatcher/state_purchase_view/34697750")</f>
        <v>https://my.zakupki.prom.ua/remote/dispatcher/state_purchase_view/34697750</v>
      </c>
      <c r="C13" s="1" t="s">
        <v>3377</v>
      </c>
      <c r="D13" s="1" t="s">
        <v>369</v>
      </c>
      <c r="E13" s="4">
        <v>90</v>
      </c>
      <c r="F13" s="5">
        <v>2166.67</v>
      </c>
      <c r="G13" s="1" t="s">
        <v>4981</v>
      </c>
      <c r="H13" s="1" t="s">
        <v>557</v>
      </c>
      <c r="I13" s="1" t="s">
        <v>3457</v>
      </c>
      <c r="J13" s="5">
        <v>195000</v>
      </c>
      <c r="K13" s="1" t="s">
        <v>3394</v>
      </c>
      <c r="L13" s="5">
        <v>975</v>
      </c>
      <c r="M13" s="1" t="s">
        <v>2308</v>
      </c>
      <c r="N13" s="1" t="s">
        <v>3983</v>
      </c>
      <c r="O13" s="1" t="s">
        <v>2521</v>
      </c>
      <c r="P13" s="1" t="s">
        <v>3956</v>
      </c>
      <c r="Q13" s="1" t="s">
        <v>3878</v>
      </c>
      <c r="R13" s="1" t="s">
        <v>4630</v>
      </c>
      <c r="S13" s="1" t="s">
        <v>4937</v>
      </c>
      <c r="T13" s="6">
        <v>44593</v>
      </c>
      <c r="U13" s="6">
        <v>44599</v>
      </c>
      <c r="V13" s="7">
        <v>0.37847222222222221</v>
      </c>
      <c r="W13" s="6">
        <v>44606</v>
      </c>
      <c r="X13" s="7">
        <v>0.41666666666666669</v>
      </c>
      <c r="Y13" s="1" t="s">
        <v>4860</v>
      </c>
      <c r="Z13" s="5">
        <v>340</v>
      </c>
      <c r="AA13" s="1" t="s">
        <v>3403</v>
      </c>
      <c r="AB13" s="1"/>
      <c r="AC13" s="1"/>
      <c r="AD13" s="1"/>
      <c r="AE13" s="1" t="s">
        <v>3803</v>
      </c>
      <c r="AF13" s="1" t="s">
        <v>9</v>
      </c>
      <c r="AG13" s="1" t="s">
        <v>9</v>
      </c>
      <c r="AH13" s="1"/>
      <c r="AI13" s="6">
        <v>44926</v>
      </c>
    </row>
    <row r="14" spans="1:35" x14ac:dyDescent="0.3">
      <c r="A14" s="1" t="s">
        <v>1899</v>
      </c>
      <c r="B14" s="2" t="str">
        <f>HYPERLINK("https://my.zakupki.prom.ua/remote/dispatcher/state_purchase_view/34697738")</f>
        <v>https://my.zakupki.prom.ua/remote/dispatcher/state_purchase_view/34697738</v>
      </c>
      <c r="C14" s="1" t="s">
        <v>3587</v>
      </c>
      <c r="D14" s="1" t="s">
        <v>1168</v>
      </c>
      <c r="E14" s="4">
        <v>1</v>
      </c>
      <c r="F14" s="5">
        <v>80000</v>
      </c>
      <c r="G14" s="1" t="s">
        <v>4940</v>
      </c>
      <c r="H14" s="1" t="s">
        <v>166</v>
      </c>
      <c r="I14" s="1" t="s">
        <v>4832</v>
      </c>
      <c r="J14" s="5">
        <v>80000</v>
      </c>
      <c r="K14" s="1" t="s">
        <v>3394</v>
      </c>
      <c r="L14" s="5">
        <v>800</v>
      </c>
      <c r="M14" s="1" t="s">
        <v>2308</v>
      </c>
      <c r="N14" s="1" t="s">
        <v>3983</v>
      </c>
      <c r="O14" s="1" t="s">
        <v>2521</v>
      </c>
      <c r="P14" s="1" t="s">
        <v>3956</v>
      </c>
      <c r="Q14" s="1" t="s">
        <v>4831</v>
      </c>
      <c r="R14" s="1" t="s">
        <v>4081</v>
      </c>
      <c r="S14" s="1" t="s">
        <v>4937</v>
      </c>
      <c r="T14" s="6">
        <v>44593</v>
      </c>
      <c r="U14" s="6">
        <v>44597</v>
      </c>
      <c r="V14" s="7">
        <v>0</v>
      </c>
      <c r="W14" s="6">
        <v>44601</v>
      </c>
      <c r="X14" s="7">
        <v>0</v>
      </c>
      <c r="Y14" s="1" t="s">
        <v>4860</v>
      </c>
      <c r="Z14" s="5">
        <v>340</v>
      </c>
      <c r="AA14" s="1" t="s">
        <v>3403</v>
      </c>
      <c r="AB14" s="1"/>
      <c r="AC14" s="1"/>
      <c r="AD14" s="1"/>
      <c r="AE14" s="1" t="s">
        <v>3737</v>
      </c>
      <c r="AF14" s="1" t="s">
        <v>9</v>
      </c>
      <c r="AG14" s="4">
        <v>4</v>
      </c>
      <c r="AH14" s="1"/>
      <c r="AI14" s="6">
        <v>44742</v>
      </c>
    </row>
    <row r="15" spans="1:35" x14ac:dyDescent="0.3">
      <c r="A15" s="1" t="s">
        <v>2284</v>
      </c>
      <c r="B15" s="2" t="str">
        <f>HYPERLINK("https://my.zakupki.prom.ua/remote/dispatcher/state_purchase_view/34697736")</f>
        <v>https://my.zakupki.prom.ua/remote/dispatcher/state_purchase_view/34697736</v>
      </c>
      <c r="C15" s="1" t="s">
        <v>2717</v>
      </c>
      <c r="D15" s="1" t="s">
        <v>269</v>
      </c>
      <c r="E15" s="1" t="s">
        <v>4903</v>
      </c>
      <c r="F15" s="1" t="s">
        <v>4903</v>
      </c>
      <c r="G15" s="1" t="s">
        <v>4903</v>
      </c>
      <c r="H15" s="1" t="s">
        <v>348</v>
      </c>
      <c r="I15" s="1" t="s">
        <v>3688</v>
      </c>
      <c r="J15" s="5">
        <v>170000</v>
      </c>
      <c r="K15" s="1" t="s">
        <v>3394</v>
      </c>
      <c r="L15" s="5">
        <v>850</v>
      </c>
      <c r="M15" s="1" t="s">
        <v>2308</v>
      </c>
      <c r="N15" s="1" t="s">
        <v>3983</v>
      </c>
      <c r="O15" s="1" t="s">
        <v>2521</v>
      </c>
      <c r="P15" s="1" t="s">
        <v>3956</v>
      </c>
      <c r="Q15" s="1" t="s">
        <v>3970</v>
      </c>
      <c r="R15" s="1" t="s">
        <v>4590</v>
      </c>
      <c r="S15" s="1" t="s">
        <v>4937</v>
      </c>
      <c r="T15" s="6">
        <v>44593</v>
      </c>
      <c r="U15" s="6">
        <v>44599</v>
      </c>
      <c r="V15" s="7">
        <v>0.61342592592592593</v>
      </c>
      <c r="W15" s="6">
        <v>44602</v>
      </c>
      <c r="X15" s="7">
        <v>0.61342592592592593</v>
      </c>
      <c r="Y15" s="1" t="s">
        <v>4860</v>
      </c>
      <c r="Z15" s="5">
        <v>340</v>
      </c>
      <c r="AA15" s="1" t="s">
        <v>3403</v>
      </c>
      <c r="AB15" s="1"/>
      <c r="AC15" s="1"/>
      <c r="AD15" s="1"/>
      <c r="AE15" s="1" t="s">
        <v>3774</v>
      </c>
      <c r="AF15" s="1" t="s">
        <v>9</v>
      </c>
      <c r="AG15" s="4">
        <v>1</v>
      </c>
      <c r="AH15" s="1"/>
      <c r="AI15" s="6">
        <v>44926</v>
      </c>
    </row>
    <row r="16" spans="1:35" x14ac:dyDescent="0.3">
      <c r="A16" s="1" t="s">
        <v>2303</v>
      </c>
      <c r="B16" s="2" t="str">
        <f>HYPERLINK("https://my.zakupki.prom.ua/remote/dispatcher/state_purchase_view/34697724")</f>
        <v>https://my.zakupki.prom.ua/remote/dispatcher/state_purchase_view/34697724</v>
      </c>
      <c r="C16" s="1" t="s">
        <v>2401</v>
      </c>
      <c r="D16" s="1" t="s">
        <v>373</v>
      </c>
      <c r="E16" s="4">
        <v>4000</v>
      </c>
      <c r="F16" s="5">
        <v>33</v>
      </c>
      <c r="G16" s="1" t="s">
        <v>4908</v>
      </c>
      <c r="H16" s="1" t="s">
        <v>53</v>
      </c>
      <c r="I16" s="1" t="s">
        <v>2883</v>
      </c>
      <c r="J16" s="5">
        <v>132000</v>
      </c>
      <c r="K16" s="1" t="s">
        <v>3394</v>
      </c>
      <c r="L16" s="5">
        <v>660</v>
      </c>
      <c r="M16" s="1" t="s">
        <v>2308</v>
      </c>
      <c r="N16" s="1" t="s">
        <v>3983</v>
      </c>
      <c r="O16" s="1" t="s">
        <v>2521</v>
      </c>
      <c r="P16" s="1" t="s">
        <v>3956</v>
      </c>
      <c r="Q16" s="1" t="s">
        <v>2756</v>
      </c>
      <c r="R16" s="1" t="s">
        <v>4681</v>
      </c>
      <c r="S16" s="1" t="s">
        <v>4937</v>
      </c>
      <c r="T16" s="6">
        <v>44593</v>
      </c>
      <c r="U16" s="6">
        <v>44599</v>
      </c>
      <c r="V16" s="7">
        <v>0</v>
      </c>
      <c r="W16" s="6">
        <v>44602</v>
      </c>
      <c r="X16" s="7">
        <v>0</v>
      </c>
      <c r="Y16" s="1" t="s">
        <v>4860</v>
      </c>
      <c r="Z16" s="5">
        <v>340</v>
      </c>
      <c r="AA16" s="1" t="s">
        <v>3403</v>
      </c>
      <c r="AB16" s="1"/>
      <c r="AC16" s="1"/>
      <c r="AD16" s="1"/>
      <c r="AE16" s="1" t="s">
        <v>3768</v>
      </c>
      <c r="AF16" s="1" t="s">
        <v>9</v>
      </c>
      <c r="AG16" s="4">
        <v>2</v>
      </c>
      <c r="AH16" s="1"/>
      <c r="AI16" s="6">
        <v>44620</v>
      </c>
    </row>
    <row r="17" spans="1:35" x14ac:dyDescent="0.3">
      <c r="A17" s="1" t="s">
        <v>1912</v>
      </c>
      <c r="B17" s="2" t="str">
        <f>HYPERLINK("https://my.zakupki.prom.ua/remote/dispatcher/state_purchase_view/34697728")</f>
        <v>https://my.zakupki.prom.ua/remote/dispatcher/state_purchase_view/34697728</v>
      </c>
      <c r="C17" s="1" t="s">
        <v>3621</v>
      </c>
      <c r="D17" s="1" t="s">
        <v>1285</v>
      </c>
      <c r="E17" s="4">
        <v>1</v>
      </c>
      <c r="F17" s="5">
        <v>17000</v>
      </c>
      <c r="G17" s="1" t="s">
        <v>4940</v>
      </c>
      <c r="H17" s="1" t="s">
        <v>911</v>
      </c>
      <c r="I17" s="1" t="s">
        <v>3158</v>
      </c>
      <c r="J17" s="5">
        <v>17000</v>
      </c>
      <c r="K17" s="1" t="s">
        <v>3394</v>
      </c>
      <c r="L17" s="5">
        <v>85</v>
      </c>
      <c r="M17" s="1" t="s">
        <v>2308</v>
      </c>
      <c r="N17" s="1" t="s">
        <v>3983</v>
      </c>
      <c r="O17" s="1" t="s">
        <v>2521</v>
      </c>
      <c r="P17" s="1" t="s">
        <v>2762</v>
      </c>
      <c r="Q17" s="1" t="s">
        <v>2761</v>
      </c>
      <c r="R17" s="1" t="s">
        <v>4388</v>
      </c>
      <c r="S17" s="1" t="s">
        <v>4937</v>
      </c>
      <c r="T17" s="6">
        <v>44593</v>
      </c>
      <c r="U17" s="6">
        <v>44599</v>
      </c>
      <c r="V17" s="7">
        <v>0.62847222222222221</v>
      </c>
      <c r="W17" s="6">
        <v>44602</v>
      </c>
      <c r="X17" s="7">
        <v>0.375</v>
      </c>
      <c r="Y17" s="1" t="s">
        <v>4860</v>
      </c>
      <c r="Z17" s="5">
        <v>17</v>
      </c>
      <c r="AA17" s="1" t="s">
        <v>3403</v>
      </c>
      <c r="AB17" s="1"/>
      <c r="AC17" s="1"/>
      <c r="AD17" s="1"/>
      <c r="AE17" s="1" t="s">
        <v>3750</v>
      </c>
      <c r="AF17" s="1" t="s">
        <v>9</v>
      </c>
      <c r="AG17" s="4">
        <v>4</v>
      </c>
      <c r="AH17" s="1"/>
      <c r="AI17" s="6">
        <v>44652</v>
      </c>
    </row>
    <row r="18" spans="1:35" x14ac:dyDescent="0.3">
      <c r="A18" s="1" t="s">
        <v>1924</v>
      </c>
      <c r="B18" s="2" t="str">
        <f>HYPERLINK("https://my.zakupki.prom.ua/remote/dispatcher/state_purchase_view/34697714")</f>
        <v>https://my.zakupki.prom.ua/remote/dispatcher/state_purchase_view/34697714</v>
      </c>
      <c r="C18" s="1" t="s">
        <v>4840</v>
      </c>
      <c r="D18" s="1" t="s">
        <v>752</v>
      </c>
      <c r="E18" s="4">
        <v>1</v>
      </c>
      <c r="F18" s="5">
        <v>41000</v>
      </c>
      <c r="G18" s="1" t="s">
        <v>4989</v>
      </c>
      <c r="H18" s="1" t="s">
        <v>389</v>
      </c>
      <c r="I18" s="1" t="s">
        <v>2581</v>
      </c>
      <c r="J18" s="5">
        <v>41000</v>
      </c>
      <c r="K18" s="1" t="s">
        <v>3394</v>
      </c>
      <c r="L18" s="5">
        <v>205</v>
      </c>
      <c r="M18" s="1" t="s">
        <v>2308</v>
      </c>
      <c r="N18" s="1" t="s">
        <v>3403</v>
      </c>
      <c r="O18" s="1" t="s">
        <v>2521</v>
      </c>
      <c r="P18" s="1" t="s">
        <v>2762</v>
      </c>
      <c r="Q18" s="1" t="s">
        <v>3325</v>
      </c>
      <c r="R18" s="1" t="s">
        <v>4081</v>
      </c>
      <c r="S18" s="1" t="s">
        <v>4937</v>
      </c>
      <c r="T18" s="6">
        <v>44593</v>
      </c>
      <c r="U18" s="6">
        <v>44599</v>
      </c>
      <c r="V18" s="7">
        <v>0.375</v>
      </c>
      <c r="W18" s="6">
        <v>44602</v>
      </c>
      <c r="X18" s="7">
        <v>0.375</v>
      </c>
      <c r="Y18" s="1" t="s">
        <v>4860</v>
      </c>
      <c r="Z18" s="5">
        <v>119</v>
      </c>
      <c r="AA18" s="1" t="s">
        <v>3403</v>
      </c>
      <c r="AB18" s="1"/>
      <c r="AC18" s="1"/>
      <c r="AD18" s="1"/>
      <c r="AE18" s="1" t="s">
        <v>3774</v>
      </c>
      <c r="AF18" s="1" t="s">
        <v>9</v>
      </c>
      <c r="AG18" s="1" t="s">
        <v>9</v>
      </c>
      <c r="AH18" s="1"/>
      <c r="AI18" s="6">
        <v>44615</v>
      </c>
    </row>
    <row r="19" spans="1:35" x14ac:dyDescent="0.3">
      <c r="A19" s="1" t="s">
        <v>1923</v>
      </c>
      <c r="B19" s="2" t="str">
        <f>HYPERLINK("https://my.zakupki.prom.ua/remote/dispatcher/state_purchase_view/34697713")</f>
        <v>https://my.zakupki.prom.ua/remote/dispatcher/state_purchase_view/34697713</v>
      </c>
      <c r="C19" s="1" t="s">
        <v>3478</v>
      </c>
      <c r="D19" s="1" t="s">
        <v>373</v>
      </c>
      <c r="E19" s="4">
        <v>3000</v>
      </c>
      <c r="F19" s="5">
        <v>25.87</v>
      </c>
      <c r="G19" s="1" t="s">
        <v>4904</v>
      </c>
      <c r="H19" s="1" t="s">
        <v>353</v>
      </c>
      <c r="I19" s="1" t="s">
        <v>2586</v>
      </c>
      <c r="J19" s="5">
        <v>77600</v>
      </c>
      <c r="K19" s="1" t="s">
        <v>3394</v>
      </c>
      <c r="L19" s="5">
        <v>388</v>
      </c>
      <c r="M19" s="1" t="s">
        <v>2308</v>
      </c>
      <c r="N19" s="1" t="s">
        <v>3403</v>
      </c>
      <c r="O19" s="1" t="s">
        <v>2521</v>
      </c>
      <c r="P19" s="1" t="s">
        <v>2762</v>
      </c>
      <c r="Q19" s="1" t="s">
        <v>4794</v>
      </c>
      <c r="R19" s="1" t="s">
        <v>4081</v>
      </c>
      <c r="S19" s="1" t="s">
        <v>4937</v>
      </c>
      <c r="T19" s="6">
        <v>44593</v>
      </c>
      <c r="U19" s="6">
        <v>44597</v>
      </c>
      <c r="V19" s="7">
        <v>0.29166666666666669</v>
      </c>
      <c r="W19" s="6">
        <v>44601</v>
      </c>
      <c r="X19" s="7">
        <v>0.29166666666666669</v>
      </c>
      <c r="Y19" s="1" t="s">
        <v>4860</v>
      </c>
      <c r="Z19" s="5">
        <v>340</v>
      </c>
      <c r="AA19" s="1" t="s">
        <v>3403</v>
      </c>
      <c r="AB19" s="1"/>
      <c r="AC19" s="1"/>
      <c r="AD19" s="1"/>
      <c r="AE19" s="1" t="s">
        <v>3797</v>
      </c>
      <c r="AF19" s="1" t="s">
        <v>9</v>
      </c>
      <c r="AG19" s="1" t="s">
        <v>9</v>
      </c>
      <c r="AH19" s="1"/>
      <c r="AI19" s="1"/>
    </row>
    <row r="20" spans="1:35" x14ac:dyDescent="0.3">
      <c r="A20" s="1" t="s">
        <v>1919</v>
      </c>
      <c r="B20" s="2" t="str">
        <f>HYPERLINK("https://my.zakupki.prom.ua/remote/dispatcher/state_purchase_view/34697708")</f>
        <v>https://my.zakupki.prom.ua/remote/dispatcher/state_purchase_view/34697708</v>
      </c>
      <c r="C20" s="1" t="s">
        <v>469</v>
      </c>
      <c r="D20" s="1" t="s">
        <v>468</v>
      </c>
      <c r="E20" s="4">
        <v>400</v>
      </c>
      <c r="F20" s="5">
        <v>70</v>
      </c>
      <c r="G20" s="1" t="s">
        <v>4902</v>
      </c>
      <c r="H20" s="1" t="s">
        <v>33</v>
      </c>
      <c r="I20" s="1" t="s">
        <v>3166</v>
      </c>
      <c r="J20" s="5">
        <v>28000</v>
      </c>
      <c r="K20" s="1" t="s">
        <v>3394</v>
      </c>
      <c r="L20" s="5">
        <v>140</v>
      </c>
      <c r="M20" s="1" t="s">
        <v>2308</v>
      </c>
      <c r="N20" s="1" t="s">
        <v>3983</v>
      </c>
      <c r="O20" s="1" t="s">
        <v>2521</v>
      </c>
      <c r="P20" s="1" t="s">
        <v>3956</v>
      </c>
      <c r="Q20" s="1" t="s">
        <v>3238</v>
      </c>
      <c r="R20" s="1" t="s">
        <v>4572</v>
      </c>
      <c r="S20" s="1" t="s">
        <v>4937</v>
      </c>
      <c r="T20" s="6">
        <v>44593</v>
      </c>
      <c r="U20" s="6">
        <v>44599</v>
      </c>
      <c r="V20" s="7">
        <v>0</v>
      </c>
      <c r="W20" s="6">
        <v>44602</v>
      </c>
      <c r="X20" s="7">
        <v>0</v>
      </c>
      <c r="Y20" s="1" t="s">
        <v>4860</v>
      </c>
      <c r="Z20" s="5">
        <v>119</v>
      </c>
      <c r="AA20" s="1" t="s">
        <v>3403</v>
      </c>
      <c r="AB20" s="1"/>
      <c r="AC20" s="1"/>
      <c r="AD20" s="1"/>
      <c r="AE20" s="1" t="s">
        <v>3765</v>
      </c>
      <c r="AF20" s="1" t="s">
        <v>9</v>
      </c>
      <c r="AG20" s="4">
        <v>8</v>
      </c>
      <c r="AH20" s="1"/>
      <c r="AI20" s="6">
        <v>44926</v>
      </c>
    </row>
    <row r="21" spans="1:35" x14ac:dyDescent="0.3">
      <c r="A21" s="1" t="s">
        <v>1548</v>
      </c>
      <c r="B21" s="2" t="str">
        <f>HYPERLINK("https://my.zakupki.prom.ua/remote/dispatcher/state_purchase_view/34697706")</f>
        <v>https://my.zakupki.prom.ua/remote/dispatcher/state_purchase_view/34697706</v>
      </c>
      <c r="C21" s="1" t="s">
        <v>3006</v>
      </c>
      <c r="D21" s="1" t="s">
        <v>506</v>
      </c>
      <c r="E21" s="1" t="s">
        <v>4903</v>
      </c>
      <c r="F21" s="1" t="s">
        <v>4903</v>
      </c>
      <c r="G21" s="1" t="s">
        <v>4903</v>
      </c>
      <c r="H21" s="1" t="s">
        <v>203</v>
      </c>
      <c r="I21" s="1" t="s">
        <v>3003</v>
      </c>
      <c r="J21" s="5">
        <v>63450</v>
      </c>
      <c r="K21" s="1" t="s">
        <v>3394</v>
      </c>
      <c r="L21" s="5">
        <v>634.5</v>
      </c>
      <c r="M21" s="1" t="s">
        <v>2308</v>
      </c>
      <c r="N21" s="1" t="s">
        <v>3983</v>
      </c>
      <c r="O21" s="1" t="s">
        <v>2521</v>
      </c>
      <c r="P21" s="1" t="s">
        <v>3956</v>
      </c>
      <c r="Q21" s="1" t="s">
        <v>2761</v>
      </c>
      <c r="R21" s="1" t="s">
        <v>4529</v>
      </c>
      <c r="S21" s="1" t="s">
        <v>4937</v>
      </c>
      <c r="T21" s="6">
        <v>44593</v>
      </c>
      <c r="U21" s="6">
        <v>44599</v>
      </c>
      <c r="V21" s="7">
        <v>4.1666666666666664E-2</v>
      </c>
      <c r="W21" s="6">
        <v>44602</v>
      </c>
      <c r="X21" s="7">
        <v>4.1666666666666664E-2</v>
      </c>
      <c r="Y21" s="1" t="s">
        <v>4860</v>
      </c>
      <c r="Z21" s="5">
        <v>340</v>
      </c>
      <c r="AA21" s="1" t="s">
        <v>3403</v>
      </c>
      <c r="AB21" s="1"/>
      <c r="AC21" s="1"/>
      <c r="AD21" s="1"/>
      <c r="AE21" s="1" t="s">
        <v>3788</v>
      </c>
      <c r="AF21" s="1" t="s">
        <v>9</v>
      </c>
      <c r="AG21" s="4">
        <v>24</v>
      </c>
      <c r="AH21" s="1"/>
      <c r="AI21" s="6">
        <v>44926</v>
      </c>
    </row>
    <row r="22" spans="1:35" x14ac:dyDescent="0.3">
      <c r="A22" s="1" t="s">
        <v>1915</v>
      </c>
      <c r="B22" s="2" t="str">
        <f>HYPERLINK("https://my.zakupki.prom.ua/remote/dispatcher/state_purchase_view/34697688")</f>
        <v>https://my.zakupki.prom.ua/remote/dispatcher/state_purchase_view/34697688</v>
      </c>
      <c r="C22" s="1" t="s">
        <v>438</v>
      </c>
      <c r="D22" s="1" t="s">
        <v>1158</v>
      </c>
      <c r="E22" s="4">
        <v>1</v>
      </c>
      <c r="F22" s="5">
        <v>78368</v>
      </c>
      <c r="G22" s="1" t="s">
        <v>4906</v>
      </c>
      <c r="H22" s="1" t="s">
        <v>420</v>
      </c>
      <c r="I22" s="1" t="s">
        <v>2585</v>
      </c>
      <c r="J22" s="5">
        <v>78368</v>
      </c>
      <c r="K22" s="1" t="s">
        <v>3394</v>
      </c>
      <c r="L22" s="5">
        <v>391.84</v>
      </c>
      <c r="M22" s="1" t="s">
        <v>2308</v>
      </c>
      <c r="N22" s="1" t="s">
        <v>3403</v>
      </c>
      <c r="O22" s="1" t="s">
        <v>2521</v>
      </c>
      <c r="P22" s="1" t="s">
        <v>2762</v>
      </c>
      <c r="Q22" s="1" t="s">
        <v>4794</v>
      </c>
      <c r="R22" s="1" t="s">
        <v>4081</v>
      </c>
      <c r="S22" s="1" t="s">
        <v>4937</v>
      </c>
      <c r="T22" s="6">
        <v>44593</v>
      </c>
      <c r="U22" s="6">
        <v>44599</v>
      </c>
      <c r="V22" s="7">
        <v>0.875</v>
      </c>
      <c r="W22" s="6">
        <v>44602</v>
      </c>
      <c r="X22" s="7">
        <v>0</v>
      </c>
      <c r="Y22" s="1" t="s">
        <v>4860</v>
      </c>
      <c r="Z22" s="5">
        <v>340</v>
      </c>
      <c r="AA22" s="1" t="s">
        <v>3403</v>
      </c>
      <c r="AB22" s="1"/>
      <c r="AC22" s="1"/>
      <c r="AD22" s="1"/>
      <c r="AE22" s="1" t="s">
        <v>3694</v>
      </c>
      <c r="AF22" s="1" t="s">
        <v>9</v>
      </c>
      <c r="AG22" s="1" t="s">
        <v>9</v>
      </c>
      <c r="AH22" s="1"/>
      <c r="AI22" s="6">
        <v>45046</v>
      </c>
    </row>
    <row r="23" spans="1:35" x14ac:dyDescent="0.3">
      <c r="A23" s="1" t="s">
        <v>1916</v>
      </c>
      <c r="B23" s="2" t="str">
        <f>HYPERLINK("https://my.zakupki.prom.ua/remote/dispatcher/state_purchase_view/34697678")</f>
        <v>https://my.zakupki.prom.ua/remote/dispatcher/state_purchase_view/34697678</v>
      </c>
      <c r="C23" s="1" t="s">
        <v>3987</v>
      </c>
      <c r="D23" s="1" t="s">
        <v>961</v>
      </c>
      <c r="E23" s="4">
        <v>32</v>
      </c>
      <c r="F23" s="5">
        <v>3437.5</v>
      </c>
      <c r="G23" s="1" t="s">
        <v>4991</v>
      </c>
      <c r="H23" s="1" t="s">
        <v>260</v>
      </c>
      <c r="I23" s="1" t="s">
        <v>3186</v>
      </c>
      <c r="J23" s="5">
        <v>110000</v>
      </c>
      <c r="K23" s="1" t="s">
        <v>3394</v>
      </c>
      <c r="L23" s="5">
        <v>550</v>
      </c>
      <c r="M23" s="1" t="s">
        <v>2308</v>
      </c>
      <c r="N23" s="1" t="s">
        <v>3983</v>
      </c>
      <c r="O23" s="1" t="s">
        <v>2521</v>
      </c>
      <c r="P23" s="1" t="s">
        <v>3956</v>
      </c>
      <c r="Q23" s="1" t="s">
        <v>3035</v>
      </c>
      <c r="R23" s="1" t="s">
        <v>4209</v>
      </c>
      <c r="S23" s="1" t="s">
        <v>4937</v>
      </c>
      <c r="T23" s="6">
        <v>44593</v>
      </c>
      <c r="U23" s="6">
        <v>44599</v>
      </c>
      <c r="V23" s="7">
        <v>0.75</v>
      </c>
      <c r="W23" s="6">
        <v>44602</v>
      </c>
      <c r="X23" s="7">
        <v>0.75</v>
      </c>
      <c r="Y23" s="1" t="s">
        <v>4860</v>
      </c>
      <c r="Z23" s="5">
        <v>340</v>
      </c>
      <c r="AA23" s="1" t="s">
        <v>3403</v>
      </c>
      <c r="AB23" s="1"/>
      <c r="AC23" s="1"/>
      <c r="AD23" s="1"/>
      <c r="AE23" s="1" t="s">
        <v>3788</v>
      </c>
      <c r="AF23" s="1" t="s">
        <v>9</v>
      </c>
      <c r="AG23" s="4">
        <v>18</v>
      </c>
      <c r="AH23" s="1"/>
      <c r="AI23" s="6">
        <v>44926</v>
      </c>
    </row>
    <row r="24" spans="1:35" x14ac:dyDescent="0.3">
      <c r="A24" s="1" t="s">
        <v>1913</v>
      </c>
      <c r="B24" s="2" t="str">
        <f>HYPERLINK("https://my.zakupki.prom.ua/remote/dispatcher/state_purchase_view/34697675")</f>
        <v>https://my.zakupki.prom.ua/remote/dispatcher/state_purchase_view/34697675</v>
      </c>
      <c r="C24" s="1" t="s">
        <v>3567</v>
      </c>
      <c r="D24" s="1" t="s">
        <v>1256</v>
      </c>
      <c r="E24" s="4">
        <v>1</v>
      </c>
      <c r="F24" s="5">
        <v>90650</v>
      </c>
      <c r="G24" s="1" t="s">
        <v>4940</v>
      </c>
      <c r="H24" s="1" t="s">
        <v>143</v>
      </c>
      <c r="I24" s="1" t="s">
        <v>2429</v>
      </c>
      <c r="J24" s="5">
        <v>90650</v>
      </c>
      <c r="K24" s="1" t="s">
        <v>3394</v>
      </c>
      <c r="L24" s="5">
        <v>453.25</v>
      </c>
      <c r="M24" s="1" t="s">
        <v>2308</v>
      </c>
      <c r="N24" s="1" t="s">
        <v>3983</v>
      </c>
      <c r="O24" s="1" t="s">
        <v>2521</v>
      </c>
      <c r="P24" s="1" t="s">
        <v>3956</v>
      </c>
      <c r="Q24" s="1" t="s">
        <v>2756</v>
      </c>
      <c r="R24" s="1" t="s">
        <v>4081</v>
      </c>
      <c r="S24" s="1" t="s">
        <v>4937</v>
      </c>
      <c r="T24" s="6">
        <v>44593</v>
      </c>
      <c r="U24" s="6">
        <v>44599</v>
      </c>
      <c r="V24" s="7">
        <v>0.60555555555555551</v>
      </c>
      <c r="W24" s="6">
        <v>44603</v>
      </c>
      <c r="X24" s="7">
        <v>0</v>
      </c>
      <c r="Y24" s="1" t="s">
        <v>4860</v>
      </c>
      <c r="Z24" s="5">
        <v>340</v>
      </c>
      <c r="AA24" s="1" t="s">
        <v>3403</v>
      </c>
      <c r="AB24" s="1"/>
      <c r="AC24" s="1"/>
      <c r="AD24" s="1"/>
      <c r="AE24" s="1" t="s">
        <v>3743</v>
      </c>
      <c r="AF24" s="1" t="s">
        <v>9</v>
      </c>
      <c r="AG24" s="4">
        <v>59</v>
      </c>
      <c r="AH24" s="1"/>
      <c r="AI24" s="6">
        <v>44926</v>
      </c>
    </row>
    <row r="25" spans="1:35" x14ac:dyDescent="0.3">
      <c r="A25" s="1" t="s">
        <v>1900</v>
      </c>
      <c r="B25" s="2" t="str">
        <f>HYPERLINK("https://my.zakupki.prom.ua/remote/dispatcher/state_purchase_lot_view/740824")</f>
        <v>https://my.zakupki.prom.ua/remote/dispatcher/state_purchase_lot_view/740824</v>
      </c>
      <c r="C25" s="1" t="s">
        <v>3331</v>
      </c>
      <c r="D25" s="1" t="s">
        <v>471</v>
      </c>
      <c r="E25" s="4">
        <v>8520</v>
      </c>
      <c r="F25" s="5">
        <v>30</v>
      </c>
      <c r="G25" s="1" t="s">
        <v>4901</v>
      </c>
      <c r="H25" s="1" t="s">
        <v>181</v>
      </c>
      <c r="I25" s="1" t="s">
        <v>3074</v>
      </c>
      <c r="J25" s="5">
        <v>255600</v>
      </c>
      <c r="K25" s="5">
        <v>255600</v>
      </c>
      <c r="L25" s="5">
        <v>1278</v>
      </c>
      <c r="M25" s="1" t="s">
        <v>2308</v>
      </c>
      <c r="N25" s="1" t="s">
        <v>3983</v>
      </c>
      <c r="O25" s="1" t="s">
        <v>2521</v>
      </c>
      <c r="P25" s="1" t="s">
        <v>2515</v>
      </c>
      <c r="Q25" s="1" t="s">
        <v>2820</v>
      </c>
      <c r="R25" s="1" t="s">
        <v>4407</v>
      </c>
      <c r="S25" s="1" t="s">
        <v>4971</v>
      </c>
      <c r="T25" s="6">
        <v>44593</v>
      </c>
      <c r="U25" s="6">
        <v>44593</v>
      </c>
      <c r="V25" s="7">
        <v>0.61030319604166661</v>
      </c>
      <c r="W25" s="6">
        <v>44609</v>
      </c>
      <c r="X25" s="7">
        <v>0</v>
      </c>
      <c r="Y25" s="8">
        <v>44609.491736111115</v>
      </c>
      <c r="Z25" s="5">
        <v>510</v>
      </c>
      <c r="AA25" s="1" t="s">
        <v>3403</v>
      </c>
      <c r="AB25" s="1"/>
      <c r="AC25" s="1"/>
      <c r="AD25" s="1"/>
      <c r="AE25" s="1" t="s">
        <v>3788</v>
      </c>
      <c r="AF25" s="1" t="s">
        <v>9</v>
      </c>
      <c r="AG25" s="4">
        <v>2</v>
      </c>
      <c r="AH25" s="1"/>
      <c r="AI25" s="6">
        <v>44926</v>
      </c>
    </row>
    <row r="26" spans="1:35" x14ac:dyDescent="0.3">
      <c r="A26" s="1" t="s">
        <v>1929</v>
      </c>
      <c r="B26" s="2" t="str">
        <f>HYPERLINK("https://my.zakupki.prom.ua/remote/dispatcher/state_purchase_view/34697661")</f>
        <v>https://my.zakupki.prom.ua/remote/dispatcher/state_purchase_view/34697661</v>
      </c>
      <c r="C26" s="1" t="s">
        <v>2646</v>
      </c>
      <c r="D26" s="1" t="s">
        <v>509</v>
      </c>
      <c r="E26" s="1" t="s">
        <v>4903</v>
      </c>
      <c r="F26" s="1" t="s">
        <v>4903</v>
      </c>
      <c r="G26" s="1" t="s">
        <v>4903</v>
      </c>
      <c r="H26" s="1" t="s">
        <v>1053</v>
      </c>
      <c r="I26" s="1" t="s">
        <v>2511</v>
      </c>
      <c r="J26" s="5">
        <v>21600</v>
      </c>
      <c r="K26" s="1" t="s">
        <v>3394</v>
      </c>
      <c r="L26" s="5">
        <v>108</v>
      </c>
      <c r="M26" s="1" t="s">
        <v>2308</v>
      </c>
      <c r="N26" s="1" t="s">
        <v>3983</v>
      </c>
      <c r="O26" s="1" t="s">
        <v>2521</v>
      </c>
      <c r="P26" s="1" t="s">
        <v>3956</v>
      </c>
      <c r="Q26" s="1" t="s">
        <v>2334</v>
      </c>
      <c r="R26" s="1" t="s">
        <v>4081</v>
      </c>
      <c r="S26" s="1" t="s">
        <v>4937</v>
      </c>
      <c r="T26" s="6">
        <v>44593</v>
      </c>
      <c r="U26" s="6">
        <v>44599</v>
      </c>
      <c r="V26" s="7">
        <v>0.83333333333333337</v>
      </c>
      <c r="W26" s="6">
        <v>44602</v>
      </c>
      <c r="X26" s="7">
        <v>0.29166666666666669</v>
      </c>
      <c r="Y26" s="1" t="s">
        <v>4860</v>
      </c>
      <c r="Z26" s="5">
        <v>119</v>
      </c>
      <c r="AA26" s="1" t="s">
        <v>3403</v>
      </c>
      <c r="AB26" s="1"/>
      <c r="AC26" s="1"/>
      <c r="AD26" s="1"/>
      <c r="AE26" s="1" t="s">
        <v>3788</v>
      </c>
      <c r="AF26" s="1" t="s">
        <v>9</v>
      </c>
      <c r="AG26" s="4">
        <v>1</v>
      </c>
      <c r="AH26" s="1"/>
      <c r="AI26" s="6">
        <v>44926</v>
      </c>
    </row>
    <row r="27" spans="1:35" x14ac:dyDescent="0.3">
      <c r="A27" s="1" t="s">
        <v>2297</v>
      </c>
      <c r="B27" s="2" t="str">
        <f>HYPERLINK("https://my.zakupki.prom.ua/remote/dispatcher/state_purchase_view/34697657")</f>
        <v>https://my.zakupki.prom.ua/remote/dispatcher/state_purchase_view/34697657</v>
      </c>
      <c r="C27" s="1" t="s">
        <v>3826</v>
      </c>
      <c r="D27" s="1" t="s">
        <v>752</v>
      </c>
      <c r="E27" s="4">
        <v>1</v>
      </c>
      <c r="F27" s="5">
        <v>52000</v>
      </c>
      <c r="G27" s="1" t="s">
        <v>4989</v>
      </c>
      <c r="H27" s="1" t="s">
        <v>389</v>
      </c>
      <c r="I27" s="1" t="s">
        <v>2581</v>
      </c>
      <c r="J27" s="5">
        <v>52000</v>
      </c>
      <c r="K27" s="1" t="s">
        <v>3394</v>
      </c>
      <c r="L27" s="5">
        <v>260</v>
      </c>
      <c r="M27" s="1" t="s">
        <v>2308</v>
      </c>
      <c r="N27" s="1" t="s">
        <v>3403</v>
      </c>
      <c r="O27" s="1" t="s">
        <v>2521</v>
      </c>
      <c r="P27" s="1" t="s">
        <v>2762</v>
      </c>
      <c r="Q27" s="1" t="s">
        <v>3325</v>
      </c>
      <c r="R27" s="1" t="s">
        <v>4081</v>
      </c>
      <c r="S27" s="1" t="s">
        <v>4937</v>
      </c>
      <c r="T27" s="6">
        <v>44593</v>
      </c>
      <c r="U27" s="6">
        <v>44599</v>
      </c>
      <c r="V27" s="7">
        <v>0.375</v>
      </c>
      <c r="W27" s="6">
        <v>44602</v>
      </c>
      <c r="X27" s="7">
        <v>0.375</v>
      </c>
      <c r="Y27" s="1" t="s">
        <v>4860</v>
      </c>
      <c r="Z27" s="5">
        <v>340</v>
      </c>
      <c r="AA27" s="1" t="s">
        <v>3403</v>
      </c>
      <c r="AB27" s="1"/>
      <c r="AC27" s="1"/>
      <c r="AD27" s="1"/>
      <c r="AE27" s="1" t="s">
        <v>3774</v>
      </c>
      <c r="AF27" s="1" t="s">
        <v>9</v>
      </c>
      <c r="AG27" s="1" t="s">
        <v>9</v>
      </c>
      <c r="AH27" s="1"/>
      <c r="AI27" s="6">
        <v>44615</v>
      </c>
    </row>
    <row r="28" spans="1:35" x14ac:dyDescent="0.3">
      <c r="A28" s="1" t="s">
        <v>1920</v>
      </c>
      <c r="B28" s="2" t="str">
        <f>HYPERLINK("https://my.zakupki.prom.ua/remote/dispatcher/state_purchase_view/34697656")</f>
        <v>https://my.zakupki.prom.ua/remote/dispatcher/state_purchase_view/34697656</v>
      </c>
      <c r="C28" s="1" t="s">
        <v>3973</v>
      </c>
      <c r="D28" s="1" t="s">
        <v>499</v>
      </c>
      <c r="E28" s="1" t="s">
        <v>4903</v>
      </c>
      <c r="F28" s="1" t="s">
        <v>4903</v>
      </c>
      <c r="G28" s="1" t="s">
        <v>4903</v>
      </c>
      <c r="H28" s="1" t="s">
        <v>165</v>
      </c>
      <c r="I28" s="1" t="s">
        <v>2857</v>
      </c>
      <c r="J28" s="5">
        <v>85396.13</v>
      </c>
      <c r="K28" s="1" t="s">
        <v>3394</v>
      </c>
      <c r="L28" s="5">
        <v>853.96</v>
      </c>
      <c r="M28" s="1" t="s">
        <v>2308</v>
      </c>
      <c r="N28" s="1" t="s">
        <v>3983</v>
      </c>
      <c r="O28" s="1" t="s">
        <v>2521</v>
      </c>
      <c r="P28" s="1" t="s">
        <v>3956</v>
      </c>
      <c r="Q28" s="1" t="s">
        <v>2761</v>
      </c>
      <c r="R28" s="1" t="s">
        <v>4325</v>
      </c>
      <c r="S28" s="1" t="s">
        <v>4937</v>
      </c>
      <c r="T28" s="6">
        <v>44593</v>
      </c>
      <c r="U28" s="6">
        <v>44600</v>
      </c>
      <c r="V28" s="7">
        <v>0.75</v>
      </c>
      <c r="W28" s="6">
        <v>44603</v>
      </c>
      <c r="X28" s="7">
        <v>0.75</v>
      </c>
      <c r="Y28" s="1" t="s">
        <v>4860</v>
      </c>
      <c r="Z28" s="5">
        <v>340</v>
      </c>
      <c r="AA28" s="1" t="s">
        <v>3403</v>
      </c>
      <c r="AB28" s="1"/>
      <c r="AC28" s="1"/>
      <c r="AD28" s="1"/>
      <c r="AE28" s="1" t="s">
        <v>3788</v>
      </c>
      <c r="AF28" s="1" t="s">
        <v>9</v>
      </c>
      <c r="AG28" s="4">
        <v>18</v>
      </c>
      <c r="AH28" s="1"/>
      <c r="AI28" s="6">
        <v>44926</v>
      </c>
    </row>
    <row r="29" spans="1:35" x14ac:dyDescent="0.3">
      <c r="A29" s="1" t="s">
        <v>1903</v>
      </c>
      <c r="B29" s="2" t="str">
        <f>HYPERLINK("https://my.zakupki.prom.ua/remote/dispatcher/state_purchase_view/34697646")</f>
        <v>https://my.zakupki.prom.ua/remote/dispatcher/state_purchase_view/34697646</v>
      </c>
      <c r="C29" s="1" t="s">
        <v>3029</v>
      </c>
      <c r="D29" s="1" t="s">
        <v>481</v>
      </c>
      <c r="E29" s="1" t="s">
        <v>4903</v>
      </c>
      <c r="F29" s="1" t="s">
        <v>4903</v>
      </c>
      <c r="G29" s="1" t="s">
        <v>4903</v>
      </c>
      <c r="H29" s="1" t="s">
        <v>201</v>
      </c>
      <c r="I29" s="1" t="s">
        <v>3000</v>
      </c>
      <c r="J29" s="5">
        <v>429480.5</v>
      </c>
      <c r="K29" s="1" t="s">
        <v>3394</v>
      </c>
      <c r="L29" s="5">
        <v>2147.4</v>
      </c>
      <c r="M29" s="1" t="s">
        <v>2308</v>
      </c>
      <c r="N29" s="1" t="s">
        <v>3983</v>
      </c>
      <c r="O29" s="1" t="s">
        <v>2521</v>
      </c>
      <c r="P29" s="1" t="s">
        <v>2515</v>
      </c>
      <c r="Q29" s="1" t="s">
        <v>4805</v>
      </c>
      <c r="R29" s="1" t="s">
        <v>4081</v>
      </c>
      <c r="S29" s="1" t="s">
        <v>4971</v>
      </c>
      <c r="T29" s="6">
        <v>44593</v>
      </c>
      <c r="U29" s="6">
        <v>44593</v>
      </c>
      <c r="V29" s="7">
        <v>0.61098685156249999</v>
      </c>
      <c r="W29" s="6">
        <v>44609</v>
      </c>
      <c r="X29" s="7">
        <v>0.75</v>
      </c>
      <c r="Y29" s="8">
        <v>44610.653263888889</v>
      </c>
      <c r="Z29" s="5">
        <v>510</v>
      </c>
      <c r="AA29" s="1" t="s">
        <v>3403</v>
      </c>
      <c r="AB29" s="1"/>
      <c r="AC29" s="1"/>
      <c r="AD29" s="1"/>
      <c r="AE29" s="1" t="s">
        <v>3787</v>
      </c>
      <c r="AF29" s="1" t="s">
        <v>9</v>
      </c>
      <c r="AG29" s="1" t="s">
        <v>9</v>
      </c>
      <c r="AH29" s="1"/>
      <c r="AI29" s="6">
        <v>44926</v>
      </c>
    </row>
    <row r="30" spans="1:35" x14ac:dyDescent="0.3">
      <c r="A30" s="1" t="s">
        <v>1925</v>
      </c>
      <c r="B30" s="2" t="str">
        <f>HYPERLINK("https://my.zakupki.prom.ua/remote/dispatcher/state_purchase_view/34697636")</f>
        <v>https://my.zakupki.prom.ua/remote/dispatcher/state_purchase_view/34697636</v>
      </c>
      <c r="C30" s="1" t="s">
        <v>2406</v>
      </c>
      <c r="D30" s="1" t="s">
        <v>376</v>
      </c>
      <c r="E30" s="1" t="s">
        <v>4903</v>
      </c>
      <c r="F30" s="1" t="s">
        <v>4903</v>
      </c>
      <c r="G30" s="1" t="s">
        <v>4903</v>
      </c>
      <c r="H30" s="1" t="s">
        <v>150</v>
      </c>
      <c r="I30" s="1" t="s">
        <v>4031</v>
      </c>
      <c r="J30" s="5">
        <v>9900</v>
      </c>
      <c r="K30" s="1" t="s">
        <v>3394</v>
      </c>
      <c r="L30" s="5">
        <v>49.5</v>
      </c>
      <c r="M30" s="1" t="s">
        <v>2308</v>
      </c>
      <c r="N30" s="1" t="s">
        <v>3983</v>
      </c>
      <c r="O30" s="1" t="s">
        <v>2521</v>
      </c>
      <c r="P30" s="1" t="s">
        <v>3956</v>
      </c>
      <c r="Q30" s="1" t="s">
        <v>4805</v>
      </c>
      <c r="R30" s="1" t="s">
        <v>4411</v>
      </c>
      <c r="S30" s="1" t="s">
        <v>4937</v>
      </c>
      <c r="T30" s="6">
        <v>44593</v>
      </c>
      <c r="U30" s="6">
        <v>44599</v>
      </c>
      <c r="V30" s="7">
        <v>0</v>
      </c>
      <c r="W30" s="6">
        <v>44602</v>
      </c>
      <c r="X30" s="7">
        <v>0</v>
      </c>
      <c r="Y30" s="1" t="s">
        <v>4860</v>
      </c>
      <c r="Z30" s="5">
        <v>17</v>
      </c>
      <c r="AA30" s="1" t="s">
        <v>3403</v>
      </c>
      <c r="AB30" s="1"/>
      <c r="AC30" s="1"/>
      <c r="AD30" s="1"/>
      <c r="AE30" s="1" t="s">
        <v>3788</v>
      </c>
      <c r="AF30" s="1" t="s">
        <v>9</v>
      </c>
      <c r="AG30" s="4">
        <v>2</v>
      </c>
      <c r="AH30" s="1"/>
      <c r="AI30" s="6">
        <v>44621</v>
      </c>
    </row>
    <row r="31" spans="1:35" x14ac:dyDescent="0.3">
      <c r="A31" s="1" t="s">
        <v>1914</v>
      </c>
      <c r="B31" s="2" t="str">
        <f>HYPERLINK("https://my.zakupki.prom.ua/remote/dispatcher/state_purchase_view/34697570")</f>
        <v>https://my.zakupki.prom.ua/remote/dispatcher/state_purchase_view/34697570</v>
      </c>
      <c r="C31" s="1" t="s">
        <v>2500</v>
      </c>
      <c r="D31" s="1" t="s">
        <v>752</v>
      </c>
      <c r="E31" s="4">
        <v>1</v>
      </c>
      <c r="F31" s="5">
        <v>18500</v>
      </c>
      <c r="G31" s="1" t="s">
        <v>4989</v>
      </c>
      <c r="H31" s="1" t="s">
        <v>389</v>
      </c>
      <c r="I31" s="1" t="s">
        <v>2581</v>
      </c>
      <c r="J31" s="5">
        <v>18500</v>
      </c>
      <c r="K31" s="1" t="s">
        <v>3394</v>
      </c>
      <c r="L31" s="5">
        <v>92.5</v>
      </c>
      <c r="M31" s="1" t="s">
        <v>2308</v>
      </c>
      <c r="N31" s="1" t="s">
        <v>3403</v>
      </c>
      <c r="O31" s="1" t="s">
        <v>2521</v>
      </c>
      <c r="P31" s="1" t="s">
        <v>2762</v>
      </c>
      <c r="Q31" s="1" t="s">
        <v>3325</v>
      </c>
      <c r="R31" s="1" t="s">
        <v>4081</v>
      </c>
      <c r="S31" s="1" t="s">
        <v>4937</v>
      </c>
      <c r="T31" s="6">
        <v>44593</v>
      </c>
      <c r="U31" s="6">
        <v>44599</v>
      </c>
      <c r="V31" s="7">
        <v>0.375</v>
      </c>
      <c r="W31" s="6">
        <v>44602</v>
      </c>
      <c r="X31" s="7">
        <v>0.375</v>
      </c>
      <c r="Y31" s="1" t="s">
        <v>4860</v>
      </c>
      <c r="Z31" s="5">
        <v>17</v>
      </c>
      <c r="AA31" s="1" t="s">
        <v>3403</v>
      </c>
      <c r="AB31" s="1"/>
      <c r="AC31" s="1"/>
      <c r="AD31" s="1"/>
      <c r="AE31" s="1" t="s">
        <v>3774</v>
      </c>
      <c r="AF31" s="1" t="s">
        <v>9</v>
      </c>
      <c r="AG31" s="1" t="s">
        <v>9</v>
      </c>
      <c r="AH31" s="1"/>
      <c r="AI31" s="6">
        <v>44615</v>
      </c>
    </row>
    <row r="32" spans="1:35" x14ac:dyDescent="0.3">
      <c r="A32" s="1" t="s">
        <v>1547</v>
      </c>
      <c r="B32" s="2" t="str">
        <f>HYPERLINK("https://my.zakupki.prom.ua/remote/dispatcher/state_purchase_view/34697565")</f>
        <v>https://my.zakupki.prom.ua/remote/dispatcher/state_purchase_view/34697565</v>
      </c>
      <c r="C32" s="1" t="s">
        <v>3677</v>
      </c>
      <c r="D32" s="1" t="s">
        <v>174</v>
      </c>
      <c r="E32" s="4">
        <v>10800</v>
      </c>
      <c r="F32" s="5">
        <v>4.74</v>
      </c>
      <c r="G32" s="1" t="s">
        <v>4989</v>
      </c>
      <c r="H32" s="1" t="s">
        <v>542</v>
      </c>
      <c r="I32" s="1" t="s">
        <v>3196</v>
      </c>
      <c r="J32" s="5">
        <v>51192</v>
      </c>
      <c r="K32" s="1" t="s">
        <v>3394</v>
      </c>
      <c r="L32" s="5">
        <v>255.96</v>
      </c>
      <c r="M32" s="1" t="s">
        <v>2308</v>
      </c>
      <c r="N32" s="1" t="s">
        <v>3983</v>
      </c>
      <c r="O32" s="1" t="s">
        <v>2521</v>
      </c>
      <c r="P32" s="1" t="s">
        <v>3956</v>
      </c>
      <c r="Q32" s="1" t="s">
        <v>2820</v>
      </c>
      <c r="R32" s="1" t="s">
        <v>4456</v>
      </c>
      <c r="S32" s="1" t="s">
        <v>4937</v>
      </c>
      <c r="T32" s="6">
        <v>44593</v>
      </c>
      <c r="U32" s="6">
        <v>44599</v>
      </c>
      <c r="V32" s="7">
        <v>0.61269675925925926</v>
      </c>
      <c r="W32" s="6">
        <v>44602</v>
      </c>
      <c r="X32" s="7">
        <v>0.61269675925925926</v>
      </c>
      <c r="Y32" s="1" t="s">
        <v>4860</v>
      </c>
      <c r="Z32" s="5">
        <v>340</v>
      </c>
      <c r="AA32" s="1" t="s">
        <v>3403</v>
      </c>
      <c r="AB32" s="1"/>
      <c r="AC32" s="1"/>
      <c r="AD32" s="1"/>
      <c r="AE32" s="1" t="s">
        <v>3788</v>
      </c>
      <c r="AF32" s="1" t="s">
        <v>9</v>
      </c>
      <c r="AG32" s="4">
        <v>2</v>
      </c>
      <c r="AH32" s="1"/>
      <c r="AI32" s="6">
        <v>44926</v>
      </c>
    </row>
    <row r="33" spans="1:35" x14ac:dyDescent="0.3">
      <c r="A33" s="1" t="s">
        <v>2302</v>
      </c>
      <c r="B33" s="2" t="str">
        <f>HYPERLINK("https://my.zakupki.prom.ua/remote/dispatcher/state_purchase_view/34697546")</f>
        <v>https://my.zakupki.prom.ua/remote/dispatcher/state_purchase_view/34697546</v>
      </c>
      <c r="C33" s="1" t="s">
        <v>2671</v>
      </c>
      <c r="D33" s="1" t="s">
        <v>617</v>
      </c>
      <c r="E33" s="1" t="s">
        <v>4903</v>
      </c>
      <c r="F33" s="1" t="s">
        <v>4903</v>
      </c>
      <c r="G33" s="1" t="s">
        <v>4903</v>
      </c>
      <c r="H33" s="1" t="s">
        <v>170</v>
      </c>
      <c r="I33" s="1" t="s">
        <v>2906</v>
      </c>
      <c r="J33" s="5">
        <v>135000</v>
      </c>
      <c r="K33" s="1" t="s">
        <v>3394</v>
      </c>
      <c r="L33" s="5">
        <v>675</v>
      </c>
      <c r="M33" s="1" t="s">
        <v>2308</v>
      </c>
      <c r="N33" s="1" t="s">
        <v>3983</v>
      </c>
      <c r="O33" s="1" t="s">
        <v>2521</v>
      </c>
      <c r="P33" s="1" t="s">
        <v>3956</v>
      </c>
      <c r="Q33" s="1" t="s">
        <v>4831</v>
      </c>
      <c r="R33" s="1" t="s">
        <v>4219</v>
      </c>
      <c r="S33" s="1" t="s">
        <v>4937</v>
      </c>
      <c r="T33" s="6">
        <v>44593</v>
      </c>
      <c r="U33" s="6">
        <v>44599</v>
      </c>
      <c r="V33" s="7">
        <v>0</v>
      </c>
      <c r="W33" s="6">
        <v>44602</v>
      </c>
      <c r="X33" s="7">
        <v>0</v>
      </c>
      <c r="Y33" s="1" t="s">
        <v>4860</v>
      </c>
      <c r="Z33" s="5">
        <v>340</v>
      </c>
      <c r="AA33" s="1" t="s">
        <v>3403</v>
      </c>
      <c r="AB33" s="1"/>
      <c r="AC33" s="1"/>
      <c r="AD33" s="1"/>
      <c r="AE33" s="1" t="s">
        <v>3768</v>
      </c>
      <c r="AF33" s="1" t="s">
        <v>9</v>
      </c>
      <c r="AG33" s="4">
        <v>4</v>
      </c>
      <c r="AH33" s="1"/>
      <c r="AI33" s="6">
        <v>44926</v>
      </c>
    </row>
    <row r="34" spans="1:35" x14ac:dyDescent="0.3">
      <c r="A34" s="1" t="s">
        <v>2301</v>
      </c>
      <c r="B34" s="2" t="str">
        <f>HYPERLINK("https://my.zakupki.prom.ua/remote/dispatcher/state_purchase_view/34697532")</f>
        <v>https://my.zakupki.prom.ua/remote/dispatcher/state_purchase_view/34697532</v>
      </c>
      <c r="C34" s="1" t="s">
        <v>3846</v>
      </c>
      <c r="D34" s="1" t="s">
        <v>751</v>
      </c>
      <c r="E34" s="1" t="s">
        <v>4903</v>
      </c>
      <c r="F34" s="1" t="s">
        <v>4903</v>
      </c>
      <c r="G34" s="1" t="s">
        <v>4903</v>
      </c>
      <c r="H34" s="1" t="s">
        <v>86</v>
      </c>
      <c r="I34" s="1" t="s">
        <v>3162</v>
      </c>
      <c r="J34" s="5">
        <v>18500</v>
      </c>
      <c r="K34" s="1" t="s">
        <v>3394</v>
      </c>
      <c r="L34" s="5">
        <v>92.5</v>
      </c>
      <c r="M34" s="1" t="s">
        <v>2308</v>
      </c>
      <c r="N34" s="1" t="s">
        <v>3983</v>
      </c>
      <c r="O34" s="1" t="s">
        <v>2521</v>
      </c>
      <c r="P34" s="1" t="s">
        <v>2762</v>
      </c>
      <c r="Q34" s="1" t="s">
        <v>3035</v>
      </c>
      <c r="R34" s="1" t="s">
        <v>4295</v>
      </c>
      <c r="S34" s="1" t="s">
        <v>4937</v>
      </c>
      <c r="T34" s="6">
        <v>44593</v>
      </c>
      <c r="U34" s="6">
        <v>44599</v>
      </c>
      <c r="V34" s="7">
        <v>0</v>
      </c>
      <c r="W34" s="6">
        <v>44602</v>
      </c>
      <c r="X34" s="7">
        <v>0</v>
      </c>
      <c r="Y34" s="1" t="s">
        <v>4860</v>
      </c>
      <c r="Z34" s="5">
        <v>17</v>
      </c>
      <c r="AA34" s="1" t="s">
        <v>3403</v>
      </c>
      <c r="AB34" s="1"/>
      <c r="AC34" s="1"/>
      <c r="AD34" s="1"/>
      <c r="AE34" s="1" t="s">
        <v>3788</v>
      </c>
      <c r="AF34" s="1" t="s">
        <v>9</v>
      </c>
      <c r="AG34" s="1" t="s">
        <v>9</v>
      </c>
      <c r="AH34" s="1"/>
      <c r="AI34" s="6">
        <v>44926</v>
      </c>
    </row>
    <row r="35" spans="1:35" x14ac:dyDescent="0.3">
      <c r="A35" s="1" t="s">
        <v>2300</v>
      </c>
      <c r="B35" s="2" t="str">
        <f>HYPERLINK("https://my.zakupki.prom.ua/remote/dispatcher/state_purchase_view/34697530")</f>
        <v>https://my.zakupki.prom.ua/remote/dispatcher/state_purchase_view/34697530</v>
      </c>
      <c r="C35" s="1" t="s">
        <v>4849</v>
      </c>
      <c r="D35" s="1" t="s">
        <v>177</v>
      </c>
      <c r="E35" s="4">
        <v>500000</v>
      </c>
      <c r="F35" s="5">
        <v>3.95</v>
      </c>
      <c r="G35" s="1" t="s">
        <v>4991</v>
      </c>
      <c r="H35" s="1" t="s">
        <v>896</v>
      </c>
      <c r="I35" s="1" t="s">
        <v>4737</v>
      </c>
      <c r="J35" s="5">
        <v>1975000</v>
      </c>
      <c r="K35" s="1" t="s">
        <v>3394</v>
      </c>
      <c r="L35" s="5">
        <v>9875</v>
      </c>
      <c r="M35" s="1" t="s">
        <v>2308</v>
      </c>
      <c r="N35" s="1" t="s">
        <v>3983</v>
      </c>
      <c r="O35" s="1" t="s">
        <v>1196</v>
      </c>
      <c r="P35" s="1" t="s">
        <v>2515</v>
      </c>
      <c r="Q35" s="1" t="s">
        <v>3035</v>
      </c>
      <c r="R35" s="1" t="s">
        <v>4189</v>
      </c>
      <c r="S35" s="1" t="s">
        <v>4971</v>
      </c>
      <c r="T35" s="6">
        <v>44593</v>
      </c>
      <c r="U35" s="6">
        <v>44593</v>
      </c>
      <c r="V35" s="7">
        <v>0.61621826353009257</v>
      </c>
      <c r="W35" s="6">
        <v>44609</v>
      </c>
      <c r="X35" s="7">
        <v>0.41666666666666669</v>
      </c>
      <c r="Y35" s="1" t="s">
        <v>4860</v>
      </c>
      <c r="Z35" s="5">
        <v>1700</v>
      </c>
      <c r="AA35" s="1" t="s">
        <v>3403</v>
      </c>
      <c r="AB35" s="1"/>
      <c r="AC35" s="1"/>
      <c r="AD35" s="1"/>
      <c r="AE35" s="1" t="s">
        <v>3788</v>
      </c>
      <c r="AF35" s="1" t="s">
        <v>9</v>
      </c>
      <c r="AG35" s="4">
        <v>92</v>
      </c>
      <c r="AH35" s="1"/>
      <c r="AI35" s="6">
        <v>44926</v>
      </c>
    </row>
    <row r="36" spans="1:35" x14ac:dyDescent="0.3">
      <c r="A36" s="1" t="s">
        <v>2299</v>
      </c>
      <c r="B36" s="2" t="str">
        <f>HYPERLINK("https://my.zakupki.prom.ua/remote/dispatcher/state_purchase_view/34697525")</f>
        <v>https://my.zakupki.prom.ua/remote/dispatcher/state_purchase_view/34697525</v>
      </c>
      <c r="C36" s="1" t="s">
        <v>3220</v>
      </c>
      <c r="D36" s="1" t="s">
        <v>529</v>
      </c>
      <c r="E36" s="1" t="s">
        <v>4903</v>
      </c>
      <c r="F36" s="1" t="s">
        <v>4903</v>
      </c>
      <c r="G36" s="1" t="s">
        <v>4903</v>
      </c>
      <c r="H36" s="1" t="s">
        <v>321</v>
      </c>
      <c r="I36" s="1" t="s">
        <v>2573</v>
      </c>
      <c r="J36" s="5">
        <v>14750</v>
      </c>
      <c r="K36" s="1" t="s">
        <v>3394</v>
      </c>
      <c r="L36" s="5">
        <v>147.5</v>
      </c>
      <c r="M36" s="1" t="s">
        <v>2308</v>
      </c>
      <c r="N36" s="1" t="s">
        <v>3983</v>
      </c>
      <c r="O36" s="1" t="s">
        <v>2521</v>
      </c>
      <c r="P36" s="1" t="s">
        <v>3956</v>
      </c>
      <c r="Q36" s="1" t="s">
        <v>2756</v>
      </c>
      <c r="R36" s="1" t="s">
        <v>4243</v>
      </c>
      <c r="S36" s="1" t="s">
        <v>4937</v>
      </c>
      <c r="T36" s="6">
        <v>44593</v>
      </c>
      <c r="U36" s="6">
        <v>44599</v>
      </c>
      <c r="V36" s="7">
        <v>0.5</v>
      </c>
      <c r="W36" s="6">
        <v>44602</v>
      </c>
      <c r="X36" s="7">
        <v>0.5</v>
      </c>
      <c r="Y36" s="1" t="s">
        <v>4860</v>
      </c>
      <c r="Z36" s="5">
        <v>17</v>
      </c>
      <c r="AA36" s="1" t="s">
        <v>3403</v>
      </c>
      <c r="AB36" s="1"/>
      <c r="AC36" s="1"/>
      <c r="AD36" s="1"/>
      <c r="AE36" s="1" t="s">
        <v>3803</v>
      </c>
      <c r="AF36" s="1" t="s">
        <v>9</v>
      </c>
      <c r="AG36" s="4">
        <v>1</v>
      </c>
      <c r="AH36" s="1"/>
      <c r="AI36" s="6">
        <v>44651</v>
      </c>
    </row>
    <row r="37" spans="1:35" x14ac:dyDescent="0.3">
      <c r="A37" s="1" t="s">
        <v>2298</v>
      </c>
      <c r="B37" s="2" t="str">
        <f>HYPERLINK("https://my.zakupki.prom.ua/remote/dispatcher/state_purchase_view/34693843")</f>
        <v>https://my.zakupki.prom.ua/remote/dispatcher/state_purchase_view/34693843</v>
      </c>
      <c r="C37" s="1" t="s">
        <v>2788</v>
      </c>
      <c r="D37" s="1" t="s">
        <v>1064</v>
      </c>
      <c r="E37" s="1" t="s">
        <v>4903</v>
      </c>
      <c r="F37" s="1" t="s">
        <v>4903</v>
      </c>
      <c r="G37" s="1" t="s">
        <v>4903</v>
      </c>
      <c r="H37" s="1" t="s">
        <v>740</v>
      </c>
      <c r="I37" s="1" t="s">
        <v>2934</v>
      </c>
      <c r="J37" s="5">
        <v>3522575.8</v>
      </c>
      <c r="K37" s="1" t="s">
        <v>3394</v>
      </c>
      <c r="L37" s="5">
        <v>36000</v>
      </c>
      <c r="M37" s="1" t="s">
        <v>2308</v>
      </c>
      <c r="N37" s="1" t="s">
        <v>3983</v>
      </c>
      <c r="O37" s="1" t="s">
        <v>849</v>
      </c>
      <c r="P37" s="1" t="s">
        <v>2516</v>
      </c>
      <c r="Q37" s="1" t="s">
        <v>4911</v>
      </c>
      <c r="R37" s="1" t="s">
        <v>4192</v>
      </c>
      <c r="S37" s="1" t="s">
        <v>4971</v>
      </c>
      <c r="T37" s="6">
        <v>44593</v>
      </c>
      <c r="U37" s="6">
        <v>44593</v>
      </c>
      <c r="V37" s="7">
        <v>0.61610079343750002</v>
      </c>
      <c r="W37" s="6">
        <v>44624</v>
      </c>
      <c r="X37" s="7">
        <v>0.375</v>
      </c>
      <c r="Y37" s="1" t="s">
        <v>4860</v>
      </c>
      <c r="Z37" s="5">
        <v>1700</v>
      </c>
      <c r="AA37" s="1" t="s">
        <v>3403</v>
      </c>
      <c r="AB37" s="1"/>
      <c r="AC37" s="1"/>
      <c r="AD37" s="1"/>
      <c r="AE37" s="1" t="s">
        <v>3799</v>
      </c>
      <c r="AF37" s="1" t="s">
        <v>9</v>
      </c>
      <c r="AG37" s="4">
        <v>217</v>
      </c>
      <c r="AH37" s="1"/>
      <c r="AI37" s="6">
        <v>44926</v>
      </c>
    </row>
    <row r="38" spans="1:35" x14ac:dyDescent="0.3">
      <c r="A38" s="1" t="s">
        <v>2296</v>
      </c>
      <c r="B38" s="2" t="str">
        <f>HYPERLINK("https://my.zakupki.prom.ua/remote/dispatcher/state_purchase_view/34697487")</f>
        <v>https://my.zakupki.prom.ua/remote/dispatcher/state_purchase_view/34697487</v>
      </c>
      <c r="C38" s="1" t="s">
        <v>3017</v>
      </c>
      <c r="D38" s="1" t="s">
        <v>1145</v>
      </c>
      <c r="E38" s="4">
        <v>1</v>
      </c>
      <c r="F38" s="5">
        <v>4000000</v>
      </c>
      <c r="G38" s="1" t="s">
        <v>4976</v>
      </c>
      <c r="H38" s="1" t="s">
        <v>982</v>
      </c>
      <c r="I38" s="1" t="s">
        <v>4731</v>
      </c>
      <c r="J38" s="5">
        <v>4000000</v>
      </c>
      <c r="K38" s="1" t="s">
        <v>3394</v>
      </c>
      <c r="L38" s="5">
        <v>40000</v>
      </c>
      <c r="M38" s="1" t="s">
        <v>2308</v>
      </c>
      <c r="N38" s="1" t="s">
        <v>3983</v>
      </c>
      <c r="O38" s="1" t="s">
        <v>2521</v>
      </c>
      <c r="P38" s="1" t="s">
        <v>2515</v>
      </c>
      <c r="Q38" s="1" t="s">
        <v>2756</v>
      </c>
      <c r="R38" s="1" t="s">
        <v>4682</v>
      </c>
      <c r="S38" s="1" t="s">
        <v>4971</v>
      </c>
      <c r="T38" s="6">
        <v>44593</v>
      </c>
      <c r="U38" s="6">
        <v>44593</v>
      </c>
      <c r="V38" s="7">
        <v>0.61558038464120379</v>
      </c>
      <c r="W38" s="6">
        <v>44609</v>
      </c>
      <c r="X38" s="7">
        <v>0</v>
      </c>
      <c r="Y38" s="1" t="s">
        <v>4860</v>
      </c>
      <c r="Z38" s="5">
        <v>1700</v>
      </c>
      <c r="AA38" s="1" t="s">
        <v>3403</v>
      </c>
      <c r="AB38" s="1"/>
      <c r="AC38" s="1"/>
      <c r="AD38" s="1"/>
      <c r="AE38" s="1" t="s">
        <v>3695</v>
      </c>
      <c r="AF38" s="1" t="s">
        <v>9</v>
      </c>
      <c r="AG38" s="1" t="s">
        <v>9</v>
      </c>
      <c r="AH38" s="1"/>
      <c r="AI38" s="6">
        <v>44926</v>
      </c>
    </row>
    <row r="39" spans="1:35" x14ac:dyDescent="0.3">
      <c r="A39" s="1" t="s">
        <v>2295</v>
      </c>
      <c r="B39" s="2" t="str">
        <f>HYPERLINK("https://my.zakupki.prom.ua/remote/dispatcher/state_purchase_view/34697457")</f>
        <v>https://my.zakupki.prom.ua/remote/dispatcher/state_purchase_view/34697457</v>
      </c>
      <c r="C39" s="1" t="s">
        <v>2665</v>
      </c>
      <c r="D39" s="1" t="s">
        <v>269</v>
      </c>
      <c r="E39" s="4">
        <v>120</v>
      </c>
      <c r="F39" s="5">
        <v>1600</v>
      </c>
      <c r="G39" s="1" t="s">
        <v>4921</v>
      </c>
      <c r="H39" s="1" t="s">
        <v>850</v>
      </c>
      <c r="I39" s="1" t="s">
        <v>2804</v>
      </c>
      <c r="J39" s="5">
        <v>192000</v>
      </c>
      <c r="K39" s="1" t="s">
        <v>3394</v>
      </c>
      <c r="L39" s="5">
        <v>1920</v>
      </c>
      <c r="M39" s="1" t="s">
        <v>2308</v>
      </c>
      <c r="N39" s="1" t="s">
        <v>3983</v>
      </c>
      <c r="O39" s="1" t="s">
        <v>2521</v>
      </c>
      <c r="P39" s="1" t="s">
        <v>3956</v>
      </c>
      <c r="Q39" s="1" t="s">
        <v>2808</v>
      </c>
      <c r="R39" s="1" t="s">
        <v>4419</v>
      </c>
      <c r="S39" s="1" t="s">
        <v>4937</v>
      </c>
      <c r="T39" s="6">
        <v>44593</v>
      </c>
      <c r="U39" s="6">
        <v>44599</v>
      </c>
      <c r="V39" s="7">
        <v>0</v>
      </c>
      <c r="W39" s="6">
        <v>44602</v>
      </c>
      <c r="X39" s="7">
        <v>0</v>
      </c>
      <c r="Y39" s="1" t="s">
        <v>4860</v>
      </c>
      <c r="Z39" s="5">
        <v>340</v>
      </c>
      <c r="AA39" s="1" t="s">
        <v>3403</v>
      </c>
      <c r="AB39" s="1"/>
      <c r="AC39" s="1"/>
      <c r="AD39" s="1"/>
      <c r="AE39" s="1" t="s">
        <v>3801</v>
      </c>
      <c r="AF39" s="1" t="s">
        <v>9</v>
      </c>
      <c r="AG39" s="1" t="s">
        <v>9</v>
      </c>
      <c r="AH39" s="1"/>
      <c r="AI39" s="6">
        <v>44926</v>
      </c>
    </row>
    <row r="40" spans="1:35" x14ac:dyDescent="0.3">
      <c r="A40" s="1" t="s">
        <v>2294</v>
      </c>
      <c r="B40" s="2" t="str">
        <f>HYPERLINK("https://my.zakupki.prom.ua/remote/dispatcher/state_purchase_view/34697393")</f>
        <v>https://my.zakupki.prom.ua/remote/dispatcher/state_purchase_view/34697393</v>
      </c>
      <c r="C40" s="1" t="s">
        <v>1158</v>
      </c>
      <c r="D40" s="1" t="s">
        <v>1158</v>
      </c>
      <c r="E40" s="4">
        <v>1</v>
      </c>
      <c r="F40" s="5">
        <v>3500</v>
      </c>
      <c r="G40" s="1" t="s">
        <v>4940</v>
      </c>
      <c r="H40" s="1" t="s">
        <v>903</v>
      </c>
      <c r="I40" s="1" t="s">
        <v>2862</v>
      </c>
      <c r="J40" s="5">
        <v>3500</v>
      </c>
      <c r="K40" s="1" t="s">
        <v>3394</v>
      </c>
      <c r="L40" s="5">
        <v>17.5</v>
      </c>
      <c r="M40" s="1" t="s">
        <v>2308</v>
      </c>
      <c r="N40" s="1" t="s">
        <v>3403</v>
      </c>
      <c r="O40" s="1" t="s">
        <v>2521</v>
      </c>
      <c r="P40" s="1" t="s">
        <v>3956</v>
      </c>
      <c r="Q40" s="1" t="s">
        <v>3262</v>
      </c>
      <c r="R40" s="1" t="s">
        <v>4466</v>
      </c>
      <c r="S40" s="1" t="s">
        <v>4937</v>
      </c>
      <c r="T40" s="6">
        <v>44593</v>
      </c>
      <c r="U40" s="6">
        <v>44599</v>
      </c>
      <c r="V40" s="7">
        <v>0.625</v>
      </c>
      <c r="W40" s="6">
        <v>44602</v>
      </c>
      <c r="X40" s="7">
        <v>0.625</v>
      </c>
      <c r="Y40" s="1" t="s">
        <v>4860</v>
      </c>
      <c r="Z40" s="5">
        <v>17</v>
      </c>
      <c r="AA40" s="1" t="s">
        <v>3403</v>
      </c>
      <c r="AB40" s="1"/>
      <c r="AC40" s="1"/>
      <c r="AD40" s="1"/>
      <c r="AE40" s="1" t="s">
        <v>3750</v>
      </c>
      <c r="AF40" s="1" t="s">
        <v>9</v>
      </c>
      <c r="AG40" s="4">
        <v>24</v>
      </c>
      <c r="AH40" s="1"/>
      <c r="AI40" s="6">
        <v>44926</v>
      </c>
    </row>
    <row r="41" spans="1:35" x14ac:dyDescent="0.3">
      <c r="A41" s="1" t="s">
        <v>2293</v>
      </c>
      <c r="B41" s="2" t="str">
        <f>HYPERLINK("https://my.zakupki.prom.ua/remote/dispatcher/state_purchase_view/34697365")</f>
        <v>https://my.zakupki.prom.ua/remote/dispatcher/state_purchase_view/34697365</v>
      </c>
      <c r="C41" s="1" t="s">
        <v>2749</v>
      </c>
      <c r="D41" s="1" t="s">
        <v>382</v>
      </c>
      <c r="E41" s="4">
        <v>5000</v>
      </c>
      <c r="F41" s="5">
        <v>30</v>
      </c>
      <c r="G41" s="1" t="s">
        <v>4908</v>
      </c>
      <c r="H41" s="1" t="s">
        <v>784</v>
      </c>
      <c r="I41" s="1" t="s">
        <v>2925</v>
      </c>
      <c r="J41" s="5">
        <v>150000</v>
      </c>
      <c r="K41" s="1" t="s">
        <v>3394</v>
      </c>
      <c r="L41" s="5">
        <v>750</v>
      </c>
      <c r="M41" s="1" t="s">
        <v>2308</v>
      </c>
      <c r="N41" s="1" t="s">
        <v>3983</v>
      </c>
      <c r="O41" s="1" t="s">
        <v>2521</v>
      </c>
      <c r="P41" s="1" t="s">
        <v>3956</v>
      </c>
      <c r="Q41" s="1" t="s">
        <v>4831</v>
      </c>
      <c r="R41" s="1" t="s">
        <v>4051</v>
      </c>
      <c r="S41" s="1" t="s">
        <v>4937</v>
      </c>
      <c r="T41" s="6">
        <v>44593</v>
      </c>
      <c r="U41" s="6">
        <v>44599</v>
      </c>
      <c r="V41" s="7">
        <v>0.83333333333333337</v>
      </c>
      <c r="W41" s="6">
        <v>44602</v>
      </c>
      <c r="X41" s="7">
        <v>0</v>
      </c>
      <c r="Y41" s="1" t="s">
        <v>4860</v>
      </c>
      <c r="Z41" s="5">
        <v>340</v>
      </c>
      <c r="AA41" s="1" t="s">
        <v>3403</v>
      </c>
      <c r="AB41" s="1"/>
      <c r="AC41" s="1"/>
      <c r="AD41" s="1"/>
      <c r="AE41" s="1" t="s">
        <v>3768</v>
      </c>
      <c r="AF41" s="1" t="s">
        <v>9</v>
      </c>
      <c r="AG41" s="1" t="s">
        <v>9</v>
      </c>
      <c r="AH41" s="1"/>
      <c r="AI41" s="6">
        <v>44926</v>
      </c>
    </row>
    <row r="42" spans="1:35" x14ac:dyDescent="0.3">
      <c r="A42" s="1" t="s">
        <v>2292</v>
      </c>
      <c r="B42" s="2" t="str">
        <f>HYPERLINK("https://my.zakupki.prom.ua/remote/dispatcher/state_purchase_view/34697361")</f>
        <v>https://my.zakupki.prom.ua/remote/dispatcher/state_purchase_view/34697361</v>
      </c>
      <c r="C42" s="1" t="s">
        <v>725</v>
      </c>
      <c r="D42" s="1" t="s">
        <v>725</v>
      </c>
      <c r="E42" s="4">
        <v>29</v>
      </c>
      <c r="F42" s="5">
        <v>9655.17</v>
      </c>
      <c r="G42" s="1" t="s">
        <v>4924</v>
      </c>
      <c r="H42" s="1" t="s">
        <v>19</v>
      </c>
      <c r="I42" s="1" t="s">
        <v>3466</v>
      </c>
      <c r="J42" s="5">
        <v>280000</v>
      </c>
      <c r="K42" s="1" t="s">
        <v>3394</v>
      </c>
      <c r="L42" s="5">
        <v>1400</v>
      </c>
      <c r="M42" s="1" t="s">
        <v>2308</v>
      </c>
      <c r="N42" s="1" t="s">
        <v>3983</v>
      </c>
      <c r="O42" s="1" t="s">
        <v>2521</v>
      </c>
      <c r="P42" s="1" t="s">
        <v>3956</v>
      </c>
      <c r="Q42" s="1" t="s">
        <v>2497</v>
      </c>
      <c r="R42" s="1" t="s">
        <v>4058</v>
      </c>
      <c r="S42" s="1" t="s">
        <v>4937</v>
      </c>
      <c r="T42" s="6">
        <v>44593</v>
      </c>
      <c r="U42" s="6">
        <v>44599</v>
      </c>
      <c r="V42" s="7">
        <v>0.95833333333333337</v>
      </c>
      <c r="W42" s="6">
        <v>44602</v>
      </c>
      <c r="X42" s="7">
        <v>0</v>
      </c>
      <c r="Y42" s="1" t="s">
        <v>4860</v>
      </c>
      <c r="Z42" s="5">
        <v>510</v>
      </c>
      <c r="AA42" s="1" t="s">
        <v>3983</v>
      </c>
      <c r="AB42" s="1"/>
      <c r="AC42" s="1"/>
      <c r="AD42" s="1"/>
      <c r="AE42" s="1" t="s">
        <v>3723</v>
      </c>
      <c r="AF42" s="1" t="s">
        <v>9</v>
      </c>
      <c r="AG42" s="4">
        <v>15</v>
      </c>
      <c r="AH42" s="1"/>
      <c r="AI42" s="6">
        <v>44926</v>
      </c>
    </row>
    <row r="43" spans="1:35" x14ac:dyDescent="0.3">
      <c r="A43" s="1" t="s">
        <v>2291</v>
      </c>
      <c r="B43" s="2" t="str">
        <f>HYPERLINK("https://my.zakupki.prom.ua/remote/dispatcher/state_purchase_view/34697358")</f>
        <v>https://my.zakupki.prom.ua/remote/dispatcher/state_purchase_view/34697358</v>
      </c>
      <c r="C43" s="1" t="s">
        <v>3496</v>
      </c>
      <c r="D43" s="1" t="s">
        <v>529</v>
      </c>
      <c r="E43" s="1" t="s">
        <v>4903</v>
      </c>
      <c r="F43" s="1" t="s">
        <v>4903</v>
      </c>
      <c r="G43" s="1" t="s">
        <v>4903</v>
      </c>
      <c r="H43" s="1" t="s">
        <v>89</v>
      </c>
      <c r="I43" s="1" t="s">
        <v>3117</v>
      </c>
      <c r="J43" s="5">
        <v>830740</v>
      </c>
      <c r="K43" s="1" t="s">
        <v>3394</v>
      </c>
      <c r="L43" s="5">
        <v>4984.4399999999996</v>
      </c>
      <c r="M43" s="1" t="s">
        <v>2308</v>
      </c>
      <c r="N43" s="1" t="s">
        <v>3983</v>
      </c>
      <c r="O43" s="1" t="s">
        <v>2521</v>
      </c>
      <c r="P43" s="1" t="s">
        <v>2515</v>
      </c>
      <c r="Q43" s="1" t="s">
        <v>3238</v>
      </c>
      <c r="R43" s="1" t="s">
        <v>4699</v>
      </c>
      <c r="S43" s="1" t="s">
        <v>4971</v>
      </c>
      <c r="T43" s="6">
        <v>44593</v>
      </c>
      <c r="U43" s="6">
        <v>44593</v>
      </c>
      <c r="V43" s="7">
        <v>0.61379800591435185</v>
      </c>
      <c r="W43" s="6">
        <v>44609</v>
      </c>
      <c r="X43" s="7">
        <v>0.75</v>
      </c>
      <c r="Y43" s="8">
        <v>44610.628310185188</v>
      </c>
      <c r="Z43" s="5">
        <v>510</v>
      </c>
      <c r="AA43" s="1" t="s">
        <v>3403</v>
      </c>
      <c r="AB43" s="1"/>
      <c r="AC43" s="1"/>
      <c r="AD43" s="1"/>
      <c r="AE43" s="1" t="s">
        <v>3788</v>
      </c>
      <c r="AF43" s="1" t="s">
        <v>9</v>
      </c>
      <c r="AG43" s="4">
        <v>17</v>
      </c>
      <c r="AH43" s="1"/>
      <c r="AI43" s="6">
        <v>44926</v>
      </c>
    </row>
    <row r="44" spans="1:35" x14ac:dyDescent="0.3">
      <c r="A44" s="1" t="s">
        <v>1557</v>
      </c>
      <c r="B44" s="2" t="str">
        <f>HYPERLINK("https://my.zakupki.prom.ua/remote/dispatcher/state_purchase_lot_view/740808")</f>
        <v>https://my.zakupki.prom.ua/remote/dispatcher/state_purchase_lot_view/740808</v>
      </c>
      <c r="C44" s="1" t="s">
        <v>4957</v>
      </c>
      <c r="D44" s="1" t="s">
        <v>803</v>
      </c>
      <c r="E44" s="4">
        <v>300</v>
      </c>
      <c r="F44" s="5">
        <v>911.5</v>
      </c>
      <c r="G44" s="1" t="s">
        <v>4982</v>
      </c>
      <c r="H44" s="1" t="s">
        <v>84</v>
      </c>
      <c r="I44" s="1" t="s">
        <v>3389</v>
      </c>
      <c r="J44" s="5">
        <v>1683254</v>
      </c>
      <c r="K44" s="5">
        <v>273450</v>
      </c>
      <c r="L44" s="5">
        <v>1368</v>
      </c>
      <c r="M44" s="1" t="s">
        <v>2308</v>
      </c>
      <c r="N44" s="1" t="s">
        <v>3983</v>
      </c>
      <c r="O44" s="1" t="s">
        <v>2521</v>
      </c>
      <c r="P44" s="1" t="s">
        <v>2515</v>
      </c>
      <c r="Q44" s="1" t="s">
        <v>4911</v>
      </c>
      <c r="R44" s="1" t="s">
        <v>4476</v>
      </c>
      <c r="S44" s="1" t="s">
        <v>4971</v>
      </c>
      <c r="T44" s="6">
        <v>44593</v>
      </c>
      <c r="U44" s="6">
        <v>44593</v>
      </c>
      <c r="V44" s="7">
        <v>0.61233796296296295</v>
      </c>
      <c r="W44" s="6">
        <v>44613</v>
      </c>
      <c r="X44" s="7">
        <v>0.45833333333333331</v>
      </c>
      <c r="Y44" s="8">
        <v>44614.528657407405</v>
      </c>
      <c r="Z44" s="5">
        <v>510</v>
      </c>
      <c r="AA44" s="1" t="s">
        <v>3403</v>
      </c>
      <c r="AB44" s="1"/>
      <c r="AC44" s="1"/>
      <c r="AD44" s="1"/>
      <c r="AE44" s="1" t="s">
        <v>3788</v>
      </c>
      <c r="AF44" s="1" t="s">
        <v>9</v>
      </c>
      <c r="AG44" s="4">
        <v>50</v>
      </c>
      <c r="AH44" s="1"/>
      <c r="AI44" s="6">
        <v>44925</v>
      </c>
    </row>
    <row r="45" spans="1:35" x14ac:dyDescent="0.3">
      <c r="A45" s="1" t="s">
        <v>1557</v>
      </c>
      <c r="B45" s="2" t="str">
        <f>HYPERLINK("https://my.zakupki.prom.ua/remote/dispatcher/state_purchase_lot_view/740809")</f>
        <v>https://my.zakupki.prom.ua/remote/dispatcher/state_purchase_lot_view/740809</v>
      </c>
      <c r="C45" s="1" t="s">
        <v>4963</v>
      </c>
      <c r="D45" s="1" t="s">
        <v>803</v>
      </c>
      <c r="E45" s="4">
        <v>200</v>
      </c>
      <c r="F45" s="5">
        <v>911.5</v>
      </c>
      <c r="G45" s="1" t="s">
        <v>4982</v>
      </c>
      <c r="H45" s="1" t="s">
        <v>84</v>
      </c>
      <c r="I45" s="1" t="s">
        <v>3389</v>
      </c>
      <c r="J45" s="5">
        <v>1683254</v>
      </c>
      <c r="K45" s="5">
        <v>182300</v>
      </c>
      <c r="L45" s="5">
        <v>912</v>
      </c>
      <c r="M45" s="1" t="s">
        <v>2308</v>
      </c>
      <c r="N45" s="1" t="s">
        <v>3983</v>
      </c>
      <c r="O45" s="1" t="s">
        <v>2521</v>
      </c>
      <c r="P45" s="1" t="s">
        <v>2515</v>
      </c>
      <c r="Q45" s="1" t="s">
        <v>4911</v>
      </c>
      <c r="R45" s="1" t="s">
        <v>4476</v>
      </c>
      <c r="S45" s="1" t="s">
        <v>4971</v>
      </c>
      <c r="T45" s="6">
        <v>44593</v>
      </c>
      <c r="U45" s="6">
        <v>44593</v>
      </c>
      <c r="V45" s="7">
        <v>0.61233796296296295</v>
      </c>
      <c r="W45" s="6">
        <v>44613</v>
      </c>
      <c r="X45" s="7">
        <v>0.45833333333333331</v>
      </c>
      <c r="Y45" s="8">
        <v>44614.545092592591</v>
      </c>
      <c r="Z45" s="5">
        <v>340</v>
      </c>
      <c r="AA45" s="1" t="s">
        <v>3403</v>
      </c>
      <c r="AB45" s="1"/>
      <c r="AC45" s="1"/>
      <c r="AD45" s="1"/>
      <c r="AE45" s="1" t="s">
        <v>3788</v>
      </c>
      <c r="AF45" s="1" t="s">
        <v>9</v>
      </c>
      <c r="AG45" s="4">
        <v>50</v>
      </c>
      <c r="AH45" s="1"/>
      <c r="AI45" s="6">
        <v>44925</v>
      </c>
    </row>
    <row r="46" spans="1:35" x14ac:dyDescent="0.3">
      <c r="A46" s="1" t="s">
        <v>1557</v>
      </c>
      <c r="B46" s="2" t="str">
        <f>HYPERLINK("https://my.zakupki.prom.ua/remote/dispatcher/state_purchase_lot_view/740810")</f>
        <v>https://my.zakupki.prom.ua/remote/dispatcher/state_purchase_lot_view/740810</v>
      </c>
      <c r="C46" s="1" t="s">
        <v>4964</v>
      </c>
      <c r="D46" s="1" t="s">
        <v>803</v>
      </c>
      <c r="E46" s="4">
        <v>150</v>
      </c>
      <c r="F46" s="5">
        <v>2670.5</v>
      </c>
      <c r="G46" s="1" t="s">
        <v>4881</v>
      </c>
      <c r="H46" s="1" t="s">
        <v>84</v>
      </c>
      <c r="I46" s="1" t="s">
        <v>3389</v>
      </c>
      <c r="J46" s="5">
        <v>1683254</v>
      </c>
      <c r="K46" s="5">
        <v>400575</v>
      </c>
      <c r="L46" s="5">
        <v>2003</v>
      </c>
      <c r="M46" s="1" t="s">
        <v>2308</v>
      </c>
      <c r="N46" s="1" t="s">
        <v>3983</v>
      </c>
      <c r="O46" s="1" t="s">
        <v>2521</v>
      </c>
      <c r="P46" s="1" t="s">
        <v>2515</v>
      </c>
      <c r="Q46" s="1" t="s">
        <v>4911</v>
      </c>
      <c r="R46" s="1" t="s">
        <v>4476</v>
      </c>
      <c r="S46" s="1" t="s">
        <v>4971</v>
      </c>
      <c r="T46" s="6">
        <v>44593</v>
      </c>
      <c r="U46" s="6">
        <v>44593</v>
      </c>
      <c r="V46" s="7">
        <v>0.61233796296296295</v>
      </c>
      <c r="W46" s="6">
        <v>44613</v>
      </c>
      <c r="X46" s="7">
        <v>0.45833333333333331</v>
      </c>
      <c r="Y46" s="8">
        <v>44614.583275462966</v>
      </c>
      <c r="Z46" s="5">
        <v>510</v>
      </c>
      <c r="AA46" s="1" t="s">
        <v>3403</v>
      </c>
      <c r="AB46" s="1"/>
      <c r="AC46" s="1"/>
      <c r="AD46" s="1"/>
      <c r="AE46" s="1" t="s">
        <v>3788</v>
      </c>
      <c r="AF46" s="1" t="s">
        <v>9</v>
      </c>
      <c r="AG46" s="4">
        <v>50</v>
      </c>
      <c r="AH46" s="1"/>
      <c r="AI46" s="6">
        <v>44925</v>
      </c>
    </row>
    <row r="47" spans="1:35" x14ac:dyDescent="0.3">
      <c r="A47" s="1" t="s">
        <v>1557</v>
      </c>
      <c r="B47" s="2" t="str">
        <f>HYPERLINK("https://my.zakupki.prom.ua/remote/dispatcher/state_purchase_lot_view/740811")</f>
        <v>https://my.zakupki.prom.ua/remote/dispatcher/state_purchase_lot_view/740811</v>
      </c>
      <c r="C47" s="1" t="s">
        <v>4965</v>
      </c>
      <c r="D47" s="1" t="s">
        <v>803</v>
      </c>
      <c r="E47" s="4">
        <v>1300</v>
      </c>
      <c r="F47" s="5">
        <v>9.18</v>
      </c>
      <c r="G47" s="1" t="s">
        <v>4854</v>
      </c>
      <c r="H47" s="1" t="s">
        <v>84</v>
      </c>
      <c r="I47" s="1" t="s">
        <v>3389</v>
      </c>
      <c r="J47" s="5">
        <v>1683254</v>
      </c>
      <c r="K47" s="5">
        <v>11934</v>
      </c>
      <c r="L47" s="5">
        <v>60</v>
      </c>
      <c r="M47" s="1" t="s">
        <v>2308</v>
      </c>
      <c r="N47" s="1" t="s">
        <v>3983</v>
      </c>
      <c r="O47" s="1" t="s">
        <v>2521</v>
      </c>
      <c r="P47" s="1" t="s">
        <v>2515</v>
      </c>
      <c r="Q47" s="1" t="s">
        <v>4911</v>
      </c>
      <c r="R47" s="1" t="s">
        <v>4476</v>
      </c>
      <c r="S47" s="1" t="s">
        <v>4971</v>
      </c>
      <c r="T47" s="6">
        <v>44593</v>
      </c>
      <c r="U47" s="6">
        <v>44593</v>
      </c>
      <c r="V47" s="7">
        <v>0.61233796296296295</v>
      </c>
      <c r="W47" s="6">
        <v>44613</v>
      </c>
      <c r="X47" s="7">
        <v>0.45833333333333331</v>
      </c>
      <c r="Y47" s="8">
        <v>44614.588784722226</v>
      </c>
      <c r="Z47" s="5">
        <v>17</v>
      </c>
      <c r="AA47" s="1" t="s">
        <v>3403</v>
      </c>
      <c r="AB47" s="1"/>
      <c r="AC47" s="1"/>
      <c r="AD47" s="1"/>
      <c r="AE47" s="1" t="s">
        <v>3788</v>
      </c>
      <c r="AF47" s="1" t="s">
        <v>9</v>
      </c>
      <c r="AG47" s="4">
        <v>50</v>
      </c>
      <c r="AH47" s="1"/>
      <c r="AI47" s="6">
        <v>44925</v>
      </c>
    </row>
    <row r="48" spans="1:35" x14ac:dyDescent="0.3">
      <c r="A48" s="1" t="s">
        <v>1557</v>
      </c>
      <c r="B48" s="2" t="str">
        <f>HYPERLINK("https://my.zakupki.prom.ua/remote/dispatcher/state_purchase_lot_view/740812")</f>
        <v>https://my.zakupki.prom.ua/remote/dispatcher/state_purchase_lot_view/740812</v>
      </c>
      <c r="C48" s="1" t="s">
        <v>4966</v>
      </c>
      <c r="D48" s="1" t="s">
        <v>803</v>
      </c>
      <c r="E48" s="4">
        <v>1300</v>
      </c>
      <c r="F48" s="5">
        <v>16.71</v>
      </c>
      <c r="G48" s="1" t="s">
        <v>4854</v>
      </c>
      <c r="H48" s="1" t="s">
        <v>84</v>
      </c>
      <c r="I48" s="1" t="s">
        <v>3389</v>
      </c>
      <c r="J48" s="5">
        <v>1683254</v>
      </c>
      <c r="K48" s="5">
        <v>21723</v>
      </c>
      <c r="L48" s="5">
        <v>109</v>
      </c>
      <c r="M48" s="1" t="s">
        <v>2308</v>
      </c>
      <c r="N48" s="1" t="s">
        <v>3983</v>
      </c>
      <c r="O48" s="1" t="s">
        <v>2521</v>
      </c>
      <c r="P48" s="1" t="s">
        <v>2515</v>
      </c>
      <c r="Q48" s="1" t="s">
        <v>4911</v>
      </c>
      <c r="R48" s="1" t="s">
        <v>4476</v>
      </c>
      <c r="S48" s="1" t="s">
        <v>4971</v>
      </c>
      <c r="T48" s="6">
        <v>44593</v>
      </c>
      <c r="U48" s="6">
        <v>44593</v>
      </c>
      <c r="V48" s="7">
        <v>0.61233796296296295</v>
      </c>
      <c r="W48" s="6">
        <v>44613</v>
      </c>
      <c r="X48" s="7">
        <v>0.45833333333333331</v>
      </c>
      <c r="Y48" s="8">
        <v>44614.622071759259</v>
      </c>
      <c r="Z48" s="5">
        <v>119</v>
      </c>
      <c r="AA48" s="1" t="s">
        <v>3403</v>
      </c>
      <c r="AB48" s="1"/>
      <c r="AC48" s="1"/>
      <c r="AD48" s="1"/>
      <c r="AE48" s="1" t="s">
        <v>3788</v>
      </c>
      <c r="AF48" s="1" t="s">
        <v>9</v>
      </c>
      <c r="AG48" s="4">
        <v>50</v>
      </c>
      <c r="AH48" s="1"/>
      <c r="AI48" s="6">
        <v>44925</v>
      </c>
    </row>
    <row r="49" spans="1:35" x14ac:dyDescent="0.3">
      <c r="A49" s="1" t="s">
        <v>1557</v>
      </c>
      <c r="B49" s="2" t="str">
        <f>HYPERLINK("https://my.zakupki.prom.ua/remote/dispatcher/state_purchase_lot_view/740813")</f>
        <v>https://my.zakupki.prom.ua/remote/dispatcher/state_purchase_lot_view/740813</v>
      </c>
      <c r="C49" s="1" t="s">
        <v>4967</v>
      </c>
      <c r="D49" s="1" t="s">
        <v>803</v>
      </c>
      <c r="E49" s="4">
        <v>65</v>
      </c>
      <c r="F49" s="5">
        <v>2670.92</v>
      </c>
      <c r="G49" s="1" t="s">
        <v>4773</v>
      </c>
      <c r="H49" s="1" t="s">
        <v>84</v>
      </c>
      <c r="I49" s="1" t="s">
        <v>3389</v>
      </c>
      <c r="J49" s="5">
        <v>1683254</v>
      </c>
      <c r="K49" s="5">
        <v>173609.8</v>
      </c>
      <c r="L49" s="5">
        <v>869</v>
      </c>
      <c r="M49" s="1" t="s">
        <v>2308</v>
      </c>
      <c r="N49" s="1" t="s">
        <v>3983</v>
      </c>
      <c r="O49" s="1" t="s">
        <v>2521</v>
      </c>
      <c r="P49" s="1" t="s">
        <v>2515</v>
      </c>
      <c r="Q49" s="1" t="s">
        <v>4911</v>
      </c>
      <c r="R49" s="1" t="s">
        <v>4476</v>
      </c>
      <c r="S49" s="1" t="s">
        <v>4971</v>
      </c>
      <c r="T49" s="6">
        <v>44593</v>
      </c>
      <c r="U49" s="6">
        <v>44593</v>
      </c>
      <c r="V49" s="7">
        <v>0.61233796296296295</v>
      </c>
      <c r="W49" s="6">
        <v>44613</v>
      </c>
      <c r="X49" s="7">
        <v>0.45833333333333331</v>
      </c>
      <c r="Y49" s="8">
        <v>44614.664027777777</v>
      </c>
      <c r="Z49" s="5">
        <v>340</v>
      </c>
      <c r="AA49" s="1" t="s">
        <v>3403</v>
      </c>
      <c r="AB49" s="1"/>
      <c r="AC49" s="1"/>
      <c r="AD49" s="1"/>
      <c r="AE49" s="1" t="s">
        <v>3788</v>
      </c>
      <c r="AF49" s="1" t="s">
        <v>9</v>
      </c>
      <c r="AG49" s="4">
        <v>50</v>
      </c>
      <c r="AH49" s="1"/>
      <c r="AI49" s="6">
        <v>44925</v>
      </c>
    </row>
    <row r="50" spans="1:35" x14ac:dyDescent="0.3">
      <c r="A50" s="1" t="s">
        <v>1557</v>
      </c>
      <c r="B50" s="2" t="str">
        <f>HYPERLINK("https://my.zakupki.prom.ua/remote/dispatcher/state_purchase_lot_view/740814")</f>
        <v>https://my.zakupki.prom.ua/remote/dispatcher/state_purchase_lot_view/740814</v>
      </c>
      <c r="C50" s="1" t="s">
        <v>4968</v>
      </c>
      <c r="D50" s="1" t="s">
        <v>803</v>
      </c>
      <c r="E50" s="4">
        <v>200</v>
      </c>
      <c r="F50" s="5">
        <v>782.68</v>
      </c>
      <c r="G50" s="1" t="s">
        <v>4991</v>
      </c>
      <c r="H50" s="1" t="s">
        <v>84</v>
      </c>
      <c r="I50" s="1" t="s">
        <v>3389</v>
      </c>
      <c r="J50" s="5">
        <v>1683254</v>
      </c>
      <c r="K50" s="5">
        <v>156536</v>
      </c>
      <c r="L50" s="5">
        <v>783</v>
      </c>
      <c r="M50" s="1" t="s">
        <v>2308</v>
      </c>
      <c r="N50" s="1" t="s">
        <v>3983</v>
      </c>
      <c r="O50" s="1" t="s">
        <v>2521</v>
      </c>
      <c r="P50" s="1" t="s">
        <v>2515</v>
      </c>
      <c r="Q50" s="1" t="s">
        <v>4911</v>
      </c>
      <c r="R50" s="1" t="s">
        <v>4476</v>
      </c>
      <c r="S50" s="1" t="s">
        <v>4971</v>
      </c>
      <c r="T50" s="6">
        <v>44593</v>
      </c>
      <c r="U50" s="6">
        <v>44593</v>
      </c>
      <c r="V50" s="7">
        <v>0.61233796296296295</v>
      </c>
      <c r="W50" s="6">
        <v>44613</v>
      </c>
      <c r="X50" s="7">
        <v>0.45833333333333331</v>
      </c>
      <c r="Y50" s="8">
        <v>44614.471342592595</v>
      </c>
      <c r="Z50" s="5">
        <v>340</v>
      </c>
      <c r="AA50" s="1" t="s">
        <v>3403</v>
      </c>
      <c r="AB50" s="1"/>
      <c r="AC50" s="1"/>
      <c r="AD50" s="1"/>
      <c r="AE50" s="1" t="s">
        <v>3788</v>
      </c>
      <c r="AF50" s="1" t="s">
        <v>9</v>
      </c>
      <c r="AG50" s="4">
        <v>50</v>
      </c>
      <c r="AH50" s="1"/>
      <c r="AI50" s="6">
        <v>44925</v>
      </c>
    </row>
    <row r="51" spans="1:35" x14ac:dyDescent="0.3">
      <c r="A51" s="1" t="s">
        <v>1557</v>
      </c>
      <c r="B51" s="2" t="str">
        <f>HYPERLINK("https://my.zakupki.prom.ua/remote/dispatcher/state_purchase_lot_view/740815")</f>
        <v>https://my.zakupki.prom.ua/remote/dispatcher/state_purchase_lot_view/740815</v>
      </c>
      <c r="C51" s="1" t="s">
        <v>4969</v>
      </c>
      <c r="D51" s="1" t="s">
        <v>803</v>
      </c>
      <c r="E51" s="4">
        <v>200</v>
      </c>
      <c r="F51" s="5">
        <v>1202.5</v>
      </c>
      <c r="G51" s="1" t="s">
        <v>4991</v>
      </c>
      <c r="H51" s="1" t="s">
        <v>84</v>
      </c>
      <c r="I51" s="1" t="s">
        <v>3389</v>
      </c>
      <c r="J51" s="5">
        <v>1683254</v>
      </c>
      <c r="K51" s="5">
        <v>240500</v>
      </c>
      <c r="L51" s="5">
        <v>1203</v>
      </c>
      <c r="M51" s="1" t="s">
        <v>2308</v>
      </c>
      <c r="N51" s="1" t="s">
        <v>3983</v>
      </c>
      <c r="O51" s="1" t="s">
        <v>2521</v>
      </c>
      <c r="P51" s="1" t="s">
        <v>2515</v>
      </c>
      <c r="Q51" s="1" t="s">
        <v>4911</v>
      </c>
      <c r="R51" s="1" t="s">
        <v>4476</v>
      </c>
      <c r="S51" s="1" t="s">
        <v>4971</v>
      </c>
      <c r="T51" s="6">
        <v>44593</v>
      </c>
      <c r="U51" s="6">
        <v>44593</v>
      </c>
      <c r="V51" s="7">
        <v>0.61233796296296295</v>
      </c>
      <c r="W51" s="6">
        <v>44613</v>
      </c>
      <c r="X51" s="7">
        <v>0.45833333333333331</v>
      </c>
      <c r="Y51" s="8">
        <v>44614.544490740744</v>
      </c>
      <c r="Z51" s="5">
        <v>510</v>
      </c>
      <c r="AA51" s="1" t="s">
        <v>3403</v>
      </c>
      <c r="AB51" s="1"/>
      <c r="AC51" s="1"/>
      <c r="AD51" s="1"/>
      <c r="AE51" s="1" t="s">
        <v>3788</v>
      </c>
      <c r="AF51" s="1" t="s">
        <v>9</v>
      </c>
      <c r="AG51" s="4">
        <v>50</v>
      </c>
      <c r="AH51" s="1"/>
      <c r="AI51" s="6">
        <v>44925</v>
      </c>
    </row>
    <row r="52" spans="1:35" x14ac:dyDescent="0.3">
      <c r="A52" s="1" t="s">
        <v>1557</v>
      </c>
      <c r="B52" s="2" t="str">
        <f>HYPERLINK("https://my.zakupki.prom.ua/remote/dispatcher/state_purchase_lot_view/740816")</f>
        <v>https://my.zakupki.prom.ua/remote/dispatcher/state_purchase_lot_view/740816</v>
      </c>
      <c r="C52" s="1" t="s">
        <v>4970</v>
      </c>
      <c r="D52" s="1" t="s">
        <v>803</v>
      </c>
      <c r="E52" s="4">
        <v>70</v>
      </c>
      <c r="F52" s="5">
        <v>1972.5</v>
      </c>
      <c r="G52" s="1" t="s">
        <v>4991</v>
      </c>
      <c r="H52" s="1" t="s">
        <v>84</v>
      </c>
      <c r="I52" s="1" t="s">
        <v>3389</v>
      </c>
      <c r="J52" s="5">
        <v>1683254</v>
      </c>
      <c r="K52" s="5">
        <v>138075</v>
      </c>
      <c r="L52" s="5">
        <v>691</v>
      </c>
      <c r="M52" s="1" t="s">
        <v>2308</v>
      </c>
      <c r="N52" s="1" t="s">
        <v>3983</v>
      </c>
      <c r="O52" s="1" t="s">
        <v>2521</v>
      </c>
      <c r="P52" s="1" t="s">
        <v>2515</v>
      </c>
      <c r="Q52" s="1" t="s">
        <v>4911</v>
      </c>
      <c r="R52" s="1" t="s">
        <v>4476</v>
      </c>
      <c r="S52" s="1" t="s">
        <v>4971</v>
      </c>
      <c r="T52" s="6">
        <v>44593</v>
      </c>
      <c r="U52" s="6">
        <v>44593</v>
      </c>
      <c r="V52" s="7">
        <v>0.61233796296296295</v>
      </c>
      <c r="W52" s="6">
        <v>44613</v>
      </c>
      <c r="X52" s="7">
        <v>0.45833333333333331</v>
      </c>
      <c r="Y52" s="8">
        <v>44614.570185185185</v>
      </c>
      <c r="Z52" s="5">
        <v>340</v>
      </c>
      <c r="AA52" s="1" t="s">
        <v>3403</v>
      </c>
      <c r="AB52" s="1"/>
      <c r="AC52" s="1"/>
      <c r="AD52" s="1"/>
      <c r="AE52" s="1" t="s">
        <v>3788</v>
      </c>
      <c r="AF52" s="1" t="s">
        <v>9</v>
      </c>
      <c r="AG52" s="4">
        <v>50</v>
      </c>
      <c r="AH52" s="1"/>
      <c r="AI52" s="6">
        <v>44925</v>
      </c>
    </row>
    <row r="53" spans="1:35" x14ac:dyDescent="0.3">
      <c r="A53" s="1" t="s">
        <v>1557</v>
      </c>
      <c r="B53" s="2" t="str">
        <f>HYPERLINK("https://my.zakupki.prom.ua/remote/dispatcher/state_purchase_lot_view/740817")</f>
        <v>https://my.zakupki.prom.ua/remote/dispatcher/state_purchase_lot_view/740817</v>
      </c>
      <c r="C53" s="1" t="s">
        <v>4958</v>
      </c>
      <c r="D53" s="1" t="s">
        <v>803</v>
      </c>
      <c r="E53" s="4">
        <v>250</v>
      </c>
      <c r="F53" s="5">
        <v>108.36</v>
      </c>
      <c r="G53" s="1" t="s">
        <v>4773</v>
      </c>
      <c r="H53" s="1" t="s">
        <v>84</v>
      </c>
      <c r="I53" s="1" t="s">
        <v>3389</v>
      </c>
      <c r="J53" s="5">
        <v>1683254</v>
      </c>
      <c r="K53" s="5">
        <v>27090</v>
      </c>
      <c r="L53" s="5">
        <v>136</v>
      </c>
      <c r="M53" s="1" t="s">
        <v>2308</v>
      </c>
      <c r="N53" s="1" t="s">
        <v>3983</v>
      </c>
      <c r="O53" s="1" t="s">
        <v>2521</v>
      </c>
      <c r="P53" s="1" t="s">
        <v>2515</v>
      </c>
      <c r="Q53" s="1" t="s">
        <v>4911</v>
      </c>
      <c r="R53" s="1" t="s">
        <v>4476</v>
      </c>
      <c r="S53" s="1" t="s">
        <v>4971</v>
      </c>
      <c r="T53" s="6">
        <v>44593</v>
      </c>
      <c r="U53" s="6">
        <v>44593</v>
      </c>
      <c r="V53" s="7">
        <v>0.61233796296296295</v>
      </c>
      <c r="W53" s="6">
        <v>44613</v>
      </c>
      <c r="X53" s="7">
        <v>0.45833333333333331</v>
      </c>
      <c r="Y53" s="8">
        <v>44614.464282407411</v>
      </c>
      <c r="Z53" s="5">
        <v>119</v>
      </c>
      <c r="AA53" s="1" t="s">
        <v>3403</v>
      </c>
      <c r="AB53" s="1"/>
      <c r="AC53" s="1"/>
      <c r="AD53" s="1"/>
      <c r="AE53" s="1" t="s">
        <v>3788</v>
      </c>
      <c r="AF53" s="1" t="s">
        <v>9</v>
      </c>
      <c r="AG53" s="4">
        <v>50</v>
      </c>
      <c r="AH53" s="1"/>
      <c r="AI53" s="6">
        <v>44925</v>
      </c>
    </row>
    <row r="54" spans="1:35" x14ac:dyDescent="0.3">
      <c r="A54" s="1" t="s">
        <v>1557</v>
      </c>
      <c r="B54" s="2" t="str">
        <f>HYPERLINK("https://my.zakupki.prom.ua/remote/dispatcher/state_purchase_lot_view/740818")</f>
        <v>https://my.zakupki.prom.ua/remote/dispatcher/state_purchase_lot_view/740818</v>
      </c>
      <c r="C54" s="1" t="s">
        <v>4959</v>
      </c>
      <c r="D54" s="1" t="s">
        <v>803</v>
      </c>
      <c r="E54" s="4">
        <v>70</v>
      </c>
      <c r="F54" s="5">
        <v>192.2</v>
      </c>
      <c r="G54" s="1" t="s">
        <v>4773</v>
      </c>
      <c r="H54" s="1" t="s">
        <v>84</v>
      </c>
      <c r="I54" s="1" t="s">
        <v>3389</v>
      </c>
      <c r="J54" s="5">
        <v>1683254</v>
      </c>
      <c r="K54" s="5">
        <v>13454</v>
      </c>
      <c r="L54" s="5">
        <v>68</v>
      </c>
      <c r="M54" s="1" t="s">
        <v>2308</v>
      </c>
      <c r="N54" s="1" t="s">
        <v>3983</v>
      </c>
      <c r="O54" s="1" t="s">
        <v>2521</v>
      </c>
      <c r="P54" s="1" t="s">
        <v>2515</v>
      </c>
      <c r="Q54" s="1" t="s">
        <v>4911</v>
      </c>
      <c r="R54" s="1" t="s">
        <v>4476</v>
      </c>
      <c r="S54" s="1" t="s">
        <v>4971</v>
      </c>
      <c r="T54" s="6">
        <v>44593</v>
      </c>
      <c r="U54" s="6">
        <v>44593</v>
      </c>
      <c r="V54" s="7">
        <v>0.61233796296296295</v>
      </c>
      <c r="W54" s="6">
        <v>44613</v>
      </c>
      <c r="X54" s="7">
        <v>0.45833333333333331</v>
      </c>
      <c r="Y54" s="8">
        <v>44614.513831018521</v>
      </c>
      <c r="Z54" s="5">
        <v>17</v>
      </c>
      <c r="AA54" s="1" t="s">
        <v>3403</v>
      </c>
      <c r="AB54" s="1"/>
      <c r="AC54" s="1"/>
      <c r="AD54" s="1"/>
      <c r="AE54" s="1" t="s">
        <v>3788</v>
      </c>
      <c r="AF54" s="1" t="s">
        <v>9</v>
      </c>
      <c r="AG54" s="4">
        <v>50</v>
      </c>
      <c r="AH54" s="1"/>
      <c r="AI54" s="6">
        <v>44925</v>
      </c>
    </row>
    <row r="55" spans="1:35" x14ac:dyDescent="0.3">
      <c r="A55" s="1" t="s">
        <v>1557</v>
      </c>
      <c r="B55" s="2" t="str">
        <f>HYPERLINK("https://my.zakupki.prom.ua/remote/dispatcher/state_purchase_lot_view/740819")</f>
        <v>https://my.zakupki.prom.ua/remote/dispatcher/state_purchase_lot_view/740819</v>
      </c>
      <c r="C55" s="1" t="s">
        <v>4960</v>
      </c>
      <c r="D55" s="1" t="s">
        <v>803</v>
      </c>
      <c r="E55" s="4">
        <v>60</v>
      </c>
      <c r="F55" s="5">
        <v>498.9</v>
      </c>
      <c r="G55" s="1" t="s">
        <v>4773</v>
      </c>
      <c r="H55" s="1" t="s">
        <v>84</v>
      </c>
      <c r="I55" s="1" t="s">
        <v>3389</v>
      </c>
      <c r="J55" s="5">
        <v>1683254</v>
      </c>
      <c r="K55" s="5">
        <v>29934</v>
      </c>
      <c r="L55" s="5">
        <v>150</v>
      </c>
      <c r="M55" s="1" t="s">
        <v>2308</v>
      </c>
      <c r="N55" s="1" t="s">
        <v>3983</v>
      </c>
      <c r="O55" s="1" t="s">
        <v>2521</v>
      </c>
      <c r="P55" s="1" t="s">
        <v>2515</v>
      </c>
      <c r="Q55" s="1" t="s">
        <v>4911</v>
      </c>
      <c r="R55" s="1" t="s">
        <v>4476</v>
      </c>
      <c r="S55" s="1" t="s">
        <v>4971</v>
      </c>
      <c r="T55" s="6">
        <v>44593</v>
      </c>
      <c r="U55" s="6">
        <v>44593</v>
      </c>
      <c r="V55" s="7">
        <v>0.61233796296296295</v>
      </c>
      <c r="W55" s="6">
        <v>44613</v>
      </c>
      <c r="X55" s="7">
        <v>0.45833333333333331</v>
      </c>
      <c r="Y55" s="8">
        <v>44614.541574074072</v>
      </c>
      <c r="Z55" s="5">
        <v>119</v>
      </c>
      <c r="AA55" s="1" t="s">
        <v>3403</v>
      </c>
      <c r="AB55" s="1"/>
      <c r="AC55" s="1"/>
      <c r="AD55" s="1"/>
      <c r="AE55" s="1" t="s">
        <v>3788</v>
      </c>
      <c r="AF55" s="1" t="s">
        <v>9</v>
      </c>
      <c r="AG55" s="4">
        <v>50</v>
      </c>
      <c r="AH55" s="1"/>
      <c r="AI55" s="6">
        <v>44925</v>
      </c>
    </row>
    <row r="56" spans="1:35" x14ac:dyDescent="0.3">
      <c r="A56" s="1" t="s">
        <v>1557</v>
      </c>
      <c r="B56" s="2" t="str">
        <f>HYPERLINK("https://my.zakupki.prom.ua/remote/dispatcher/state_purchase_lot_view/740820")</f>
        <v>https://my.zakupki.prom.ua/remote/dispatcher/state_purchase_lot_view/740820</v>
      </c>
      <c r="C56" s="1" t="s">
        <v>4961</v>
      </c>
      <c r="D56" s="1" t="s">
        <v>803</v>
      </c>
      <c r="E56" s="4">
        <v>250</v>
      </c>
      <c r="F56" s="5">
        <v>12.33</v>
      </c>
      <c r="G56" s="1" t="s">
        <v>4854</v>
      </c>
      <c r="H56" s="1" t="s">
        <v>84</v>
      </c>
      <c r="I56" s="1" t="s">
        <v>3389</v>
      </c>
      <c r="J56" s="5">
        <v>1683254</v>
      </c>
      <c r="K56" s="5">
        <v>3082.5</v>
      </c>
      <c r="L56" s="5">
        <v>16</v>
      </c>
      <c r="M56" s="1" t="s">
        <v>2308</v>
      </c>
      <c r="N56" s="1" t="s">
        <v>3983</v>
      </c>
      <c r="O56" s="1" t="s">
        <v>2521</v>
      </c>
      <c r="P56" s="1" t="s">
        <v>2515</v>
      </c>
      <c r="Q56" s="1" t="s">
        <v>4911</v>
      </c>
      <c r="R56" s="1" t="s">
        <v>4476</v>
      </c>
      <c r="S56" s="1" t="s">
        <v>4971</v>
      </c>
      <c r="T56" s="6">
        <v>44593</v>
      </c>
      <c r="U56" s="6">
        <v>44593</v>
      </c>
      <c r="V56" s="7">
        <v>0.61233796296296295</v>
      </c>
      <c r="W56" s="6">
        <v>44613</v>
      </c>
      <c r="X56" s="7">
        <v>0.45833333333333331</v>
      </c>
      <c r="Y56" s="8">
        <v>44614.552476851852</v>
      </c>
      <c r="Z56" s="5">
        <v>17</v>
      </c>
      <c r="AA56" s="1" t="s">
        <v>3403</v>
      </c>
      <c r="AB56" s="1"/>
      <c r="AC56" s="1"/>
      <c r="AD56" s="1"/>
      <c r="AE56" s="1" t="s">
        <v>3788</v>
      </c>
      <c r="AF56" s="1" t="s">
        <v>9</v>
      </c>
      <c r="AG56" s="4">
        <v>50</v>
      </c>
      <c r="AH56" s="1"/>
      <c r="AI56" s="6">
        <v>44925</v>
      </c>
    </row>
    <row r="57" spans="1:35" x14ac:dyDescent="0.3">
      <c r="A57" s="1" t="s">
        <v>1557</v>
      </c>
      <c r="B57" s="2" t="str">
        <f>HYPERLINK("https://my.zakupki.prom.ua/remote/dispatcher/state_purchase_lot_view/740821")</f>
        <v>https://my.zakupki.prom.ua/remote/dispatcher/state_purchase_lot_view/740821</v>
      </c>
      <c r="C57" s="1" t="s">
        <v>4962</v>
      </c>
      <c r="D57" s="1" t="s">
        <v>803</v>
      </c>
      <c r="E57" s="4">
        <v>70</v>
      </c>
      <c r="F57" s="5">
        <v>157.01</v>
      </c>
      <c r="G57" s="1" t="s">
        <v>4773</v>
      </c>
      <c r="H57" s="1" t="s">
        <v>84</v>
      </c>
      <c r="I57" s="1" t="s">
        <v>3389</v>
      </c>
      <c r="J57" s="5">
        <v>1683254</v>
      </c>
      <c r="K57" s="5">
        <v>10990.7</v>
      </c>
      <c r="L57" s="5">
        <v>55</v>
      </c>
      <c r="M57" s="1" t="s">
        <v>2308</v>
      </c>
      <c r="N57" s="1" t="s">
        <v>3983</v>
      </c>
      <c r="O57" s="1" t="s">
        <v>2521</v>
      </c>
      <c r="P57" s="1" t="s">
        <v>2515</v>
      </c>
      <c r="Q57" s="1" t="s">
        <v>4911</v>
      </c>
      <c r="R57" s="1" t="s">
        <v>4476</v>
      </c>
      <c r="S57" s="1" t="s">
        <v>4971</v>
      </c>
      <c r="T57" s="6">
        <v>44593</v>
      </c>
      <c r="U57" s="6">
        <v>44593</v>
      </c>
      <c r="V57" s="7">
        <v>0.61233796296296295</v>
      </c>
      <c r="W57" s="6">
        <v>44613</v>
      </c>
      <c r="X57" s="7">
        <v>0.45833333333333331</v>
      </c>
      <c r="Y57" s="8">
        <v>44614.482152777775</v>
      </c>
      <c r="Z57" s="5">
        <v>17</v>
      </c>
      <c r="AA57" s="1" t="s">
        <v>3403</v>
      </c>
      <c r="AB57" s="1"/>
      <c r="AC57" s="1"/>
      <c r="AD57" s="1"/>
      <c r="AE57" s="1" t="s">
        <v>3788</v>
      </c>
      <c r="AF57" s="1" t="s">
        <v>9</v>
      </c>
      <c r="AG57" s="4">
        <v>50</v>
      </c>
      <c r="AH57" s="1"/>
      <c r="AI57" s="6">
        <v>44925</v>
      </c>
    </row>
    <row r="58" spans="1:35" x14ac:dyDescent="0.3">
      <c r="A58" s="1" t="s">
        <v>1540</v>
      </c>
      <c r="B58" s="2" t="str">
        <f>HYPERLINK("https://my.zakupki.prom.ua/remote/dispatcher/state_purchase_view/34697289")</f>
        <v>https://my.zakupki.prom.ua/remote/dispatcher/state_purchase_view/34697289</v>
      </c>
      <c r="C58" s="1" t="s">
        <v>3978</v>
      </c>
      <c r="D58" s="1" t="s">
        <v>430</v>
      </c>
      <c r="E58" s="4">
        <v>70</v>
      </c>
      <c r="F58" s="5">
        <v>1414.29</v>
      </c>
      <c r="G58" s="1" t="s">
        <v>4981</v>
      </c>
      <c r="H58" s="1" t="s">
        <v>620</v>
      </c>
      <c r="I58" s="1" t="s">
        <v>2983</v>
      </c>
      <c r="J58" s="5">
        <v>99000</v>
      </c>
      <c r="K58" s="1" t="s">
        <v>3394</v>
      </c>
      <c r="L58" s="5">
        <v>495</v>
      </c>
      <c r="M58" s="1" t="s">
        <v>2308</v>
      </c>
      <c r="N58" s="1" t="s">
        <v>3983</v>
      </c>
      <c r="O58" s="1" t="s">
        <v>2521</v>
      </c>
      <c r="P58" s="1" t="s">
        <v>3956</v>
      </c>
      <c r="Q58" s="1" t="s">
        <v>3504</v>
      </c>
      <c r="R58" s="1" t="s">
        <v>4443</v>
      </c>
      <c r="S58" s="1" t="s">
        <v>4937</v>
      </c>
      <c r="T58" s="6">
        <v>44593</v>
      </c>
      <c r="U58" s="6">
        <v>44597</v>
      </c>
      <c r="V58" s="7">
        <v>0.625</v>
      </c>
      <c r="W58" s="6">
        <v>44602</v>
      </c>
      <c r="X58" s="7">
        <v>0.625</v>
      </c>
      <c r="Y58" s="1" t="s">
        <v>4860</v>
      </c>
      <c r="Z58" s="5">
        <v>340</v>
      </c>
      <c r="AA58" s="1" t="s">
        <v>3403</v>
      </c>
      <c r="AB58" s="1"/>
      <c r="AC58" s="1"/>
      <c r="AD58" s="1"/>
      <c r="AE58" s="1" t="s">
        <v>3765</v>
      </c>
      <c r="AF58" s="1" t="s">
        <v>9</v>
      </c>
      <c r="AG58" s="4">
        <v>1</v>
      </c>
      <c r="AH58" s="1"/>
      <c r="AI58" s="6">
        <v>44926</v>
      </c>
    </row>
    <row r="59" spans="1:35" x14ac:dyDescent="0.3">
      <c r="A59" s="1" t="s">
        <v>1556</v>
      </c>
      <c r="B59" s="2" t="str">
        <f>HYPERLINK("https://my.zakupki.prom.ua/remote/dispatcher/state_purchase_view/34697283")</f>
        <v>https://my.zakupki.prom.ua/remote/dispatcher/state_purchase_view/34697283</v>
      </c>
      <c r="C59" s="1" t="s">
        <v>3541</v>
      </c>
      <c r="D59" s="1" t="s">
        <v>1193</v>
      </c>
      <c r="E59" s="4">
        <v>1</v>
      </c>
      <c r="F59" s="5">
        <v>491667</v>
      </c>
      <c r="G59" s="1" t="s">
        <v>4939</v>
      </c>
      <c r="H59" s="1" t="s">
        <v>548</v>
      </c>
      <c r="I59" s="1" t="s">
        <v>4842</v>
      </c>
      <c r="J59" s="5">
        <v>491667</v>
      </c>
      <c r="K59" s="1" t="s">
        <v>3394</v>
      </c>
      <c r="L59" s="5">
        <v>2458.34</v>
      </c>
      <c r="M59" s="1" t="s">
        <v>2308</v>
      </c>
      <c r="N59" s="1" t="s">
        <v>3983</v>
      </c>
      <c r="O59" s="1" t="s">
        <v>2521</v>
      </c>
      <c r="P59" s="1" t="s">
        <v>2515</v>
      </c>
      <c r="Q59" s="1" t="s">
        <v>2334</v>
      </c>
      <c r="R59" s="1" t="s">
        <v>4086</v>
      </c>
      <c r="S59" s="1" t="s">
        <v>4971</v>
      </c>
      <c r="T59" s="6">
        <v>44593</v>
      </c>
      <c r="U59" s="6">
        <v>44593</v>
      </c>
      <c r="V59" s="7">
        <v>0.61430555555555555</v>
      </c>
      <c r="W59" s="6">
        <v>44610</v>
      </c>
      <c r="X59" s="7">
        <v>0.625</v>
      </c>
      <c r="Y59" s="8">
        <v>44613.559710648151</v>
      </c>
      <c r="Z59" s="5">
        <v>510</v>
      </c>
      <c r="AA59" s="1" t="s">
        <v>3403</v>
      </c>
      <c r="AB59" s="1"/>
      <c r="AC59" s="1"/>
      <c r="AD59" s="1"/>
      <c r="AE59" s="1" t="s">
        <v>3729</v>
      </c>
      <c r="AF59" s="1" t="s">
        <v>9</v>
      </c>
      <c r="AG59" s="1" t="s">
        <v>9</v>
      </c>
      <c r="AH59" s="1"/>
      <c r="AI59" s="6">
        <v>44926</v>
      </c>
    </row>
    <row r="60" spans="1:35" x14ac:dyDescent="0.3">
      <c r="A60" s="1" t="s">
        <v>1895</v>
      </c>
      <c r="B60" s="2" t="str">
        <f>HYPERLINK("https://my.zakupki.prom.ua/remote/dispatcher/state_purchase_view/34697280")</f>
        <v>https://my.zakupki.prom.ua/remote/dispatcher/state_purchase_view/34697280</v>
      </c>
      <c r="C60" s="1" t="s">
        <v>3493</v>
      </c>
      <c r="D60" s="1" t="s">
        <v>498</v>
      </c>
      <c r="E60" s="1" t="s">
        <v>4903</v>
      </c>
      <c r="F60" s="1" t="s">
        <v>4903</v>
      </c>
      <c r="G60" s="1" t="s">
        <v>4903</v>
      </c>
      <c r="H60" s="1" t="s">
        <v>957</v>
      </c>
      <c r="I60" s="1" t="s">
        <v>2447</v>
      </c>
      <c r="J60" s="5">
        <v>172500</v>
      </c>
      <c r="K60" s="1" t="s">
        <v>3394</v>
      </c>
      <c r="L60" s="5">
        <v>1725</v>
      </c>
      <c r="M60" s="1" t="s">
        <v>2308</v>
      </c>
      <c r="N60" s="1" t="s">
        <v>3983</v>
      </c>
      <c r="O60" s="1" t="s">
        <v>2521</v>
      </c>
      <c r="P60" s="1" t="s">
        <v>3956</v>
      </c>
      <c r="Q60" s="1" t="s">
        <v>4794</v>
      </c>
      <c r="R60" s="1" t="s">
        <v>4238</v>
      </c>
      <c r="S60" s="1" t="s">
        <v>4937</v>
      </c>
      <c r="T60" s="6">
        <v>44593</v>
      </c>
      <c r="U60" s="6">
        <v>44599</v>
      </c>
      <c r="V60" s="7">
        <v>0</v>
      </c>
      <c r="W60" s="6">
        <v>44602</v>
      </c>
      <c r="X60" s="7">
        <v>0</v>
      </c>
      <c r="Y60" s="1" t="s">
        <v>4860</v>
      </c>
      <c r="Z60" s="5">
        <v>340</v>
      </c>
      <c r="AA60" s="1" t="s">
        <v>3403</v>
      </c>
      <c r="AB60" s="1"/>
      <c r="AC60" s="1"/>
      <c r="AD60" s="1"/>
      <c r="AE60" s="1" t="s">
        <v>3788</v>
      </c>
      <c r="AF60" s="1" t="s">
        <v>9</v>
      </c>
      <c r="AG60" s="4">
        <v>14</v>
      </c>
      <c r="AH60" s="1"/>
      <c r="AI60" s="6">
        <v>44926</v>
      </c>
    </row>
    <row r="61" spans="1:35" x14ac:dyDescent="0.3">
      <c r="A61" s="1" t="s">
        <v>1898</v>
      </c>
      <c r="B61" s="2" t="str">
        <f>HYPERLINK("https://my.zakupki.prom.ua/remote/dispatcher/state_purchase_view/34697275")</f>
        <v>https://my.zakupki.prom.ua/remote/dispatcher/state_purchase_view/34697275</v>
      </c>
      <c r="C61" s="1" t="s">
        <v>3448</v>
      </c>
      <c r="D61" s="1" t="s">
        <v>1243</v>
      </c>
      <c r="E61" s="4">
        <v>3</v>
      </c>
      <c r="F61" s="5">
        <v>224984</v>
      </c>
      <c r="G61" s="1" t="s">
        <v>4940</v>
      </c>
      <c r="H61" s="1" t="s">
        <v>675</v>
      </c>
      <c r="I61" s="1" t="s">
        <v>3990</v>
      </c>
      <c r="J61" s="5">
        <v>674952</v>
      </c>
      <c r="K61" s="1" t="s">
        <v>3394</v>
      </c>
      <c r="L61" s="5">
        <v>6749.52</v>
      </c>
      <c r="M61" s="1" t="s">
        <v>2308</v>
      </c>
      <c r="N61" s="1" t="s">
        <v>3983</v>
      </c>
      <c r="O61" s="1" t="s">
        <v>531</v>
      </c>
      <c r="P61" s="1" t="s">
        <v>2515</v>
      </c>
      <c r="Q61" s="1" t="s">
        <v>4794</v>
      </c>
      <c r="R61" s="1" t="s">
        <v>4614</v>
      </c>
      <c r="S61" s="1" t="s">
        <v>4971</v>
      </c>
      <c r="T61" s="6">
        <v>44593</v>
      </c>
      <c r="U61" s="6">
        <v>44593</v>
      </c>
      <c r="V61" s="7">
        <v>0.61015764725694444</v>
      </c>
      <c r="W61" s="6">
        <v>44609</v>
      </c>
      <c r="X61" s="7">
        <v>0</v>
      </c>
      <c r="Y61" s="8">
        <v>44609.468194444446</v>
      </c>
      <c r="Z61" s="5">
        <v>510</v>
      </c>
      <c r="AA61" s="1" t="s">
        <v>3403</v>
      </c>
      <c r="AB61" s="1"/>
      <c r="AC61" s="1"/>
      <c r="AD61" s="1"/>
      <c r="AE61" s="1" t="s">
        <v>3727</v>
      </c>
      <c r="AF61" s="1" t="s">
        <v>9</v>
      </c>
      <c r="AG61" s="4">
        <v>27</v>
      </c>
      <c r="AH61" s="6">
        <v>44621</v>
      </c>
      <c r="AI61" s="6">
        <v>44926</v>
      </c>
    </row>
    <row r="62" spans="1:35" x14ac:dyDescent="0.3">
      <c r="A62" s="1" t="s">
        <v>1888</v>
      </c>
      <c r="B62" s="2" t="str">
        <f>HYPERLINK("https://my.zakupki.prom.ua/remote/dispatcher/state_purchase_view/34697260")</f>
        <v>https://my.zakupki.prom.ua/remote/dispatcher/state_purchase_view/34697260</v>
      </c>
      <c r="C62" s="1" t="s">
        <v>4891</v>
      </c>
      <c r="D62" s="1" t="s">
        <v>371</v>
      </c>
      <c r="E62" s="4">
        <v>1932</v>
      </c>
      <c r="F62" s="5">
        <v>49.3</v>
      </c>
      <c r="G62" s="1" t="s">
        <v>4883</v>
      </c>
      <c r="H62" s="1" t="s">
        <v>234</v>
      </c>
      <c r="I62" s="1" t="s">
        <v>2821</v>
      </c>
      <c r="J62" s="5">
        <v>95247.6</v>
      </c>
      <c r="K62" s="1" t="s">
        <v>3394</v>
      </c>
      <c r="L62" s="5">
        <v>950</v>
      </c>
      <c r="M62" s="1" t="s">
        <v>2308</v>
      </c>
      <c r="N62" s="1" t="s">
        <v>3983</v>
      </c>
      <c r="O62" s="1" t="s">
        <v>2521</v>
      </c>
      <c r="P62" s="1" t="s">
        <v>2516</v>
      </c>
      <c r="Q62" s="1" t="s">
        <v>2820</v>
      </c>
      <c r="R62" s="1" t="s">
        <v>4598</v>
      </c>
      <c r="S62" s="1" t="s">
        <v>4971</v>
      </c>
      <c r="T62" s="6">
        <v>44593</v>
      </c>
      <c r="U62" s="6">
        <v>44593</v>
      </c>
      <c r="V62" s="7">
        <v>0.60768678445601854</v>
      </c>
      <c r="W62" s="6">
        <v>44624</v>
      </c>
      <c r="X62" s="7">
        <v>0.61114583333333339</v>
      </c>
      <c r="Y62" s="8">
        <v>44662.56527777778</v>
      </c>
      <c r="Z62" s="5">
        <v>340</v>
      </c>
      <c r="AA62" s="1" t="s">
        <v>3403</v>
      </c>
      <c r="AB62" s="1"/>
      <c r="AC62" s="1"/>
      <c r="AD62" s="1"/>
      <c r="AE62" s="1" t="s">
        <v>3775</v>
      </c>
      <c r="AF62" s="1" t="s">
        <v>9</v>
      </c>
      <c r="AG62" s="4">
        <v>37</v>
      </c>
      <c r="AH62" s="1"/>
      <c r="AI62" s="6">
        <v>44926</v>
      </c>
    </row>
    <row r="63" spans="1:35" x14ac:dyDescent="0.3">
      <c r="A63" s="1" t="s">
        <v>1546</v>
      </c>
      <c r="B63" s="2" t="str">
        <f>HYPERLINK("https://my.zakupki.prom.ua/remote/dispatcher/state_purchase_lot_view/740806")</f>
        <v>https://my.zakupki.prom.ua/remote/dispatcher/state_purchase_lot_view/740806</v>
      </c>
      <c r="C63" s="1" t="s">
        <v>4927</v>
      </c>
      <c r="D63" s="1" t="s">
        <v>215</v>
      </c>
      <c r="E63" s="1" t="s">
        <v>4903</v>
      </c>
      <c r="F63" s="1" t="s">
        <v>4903</v>
      </c>
      <c r="G63" s="1" t="s">
        <v>4903</v>
      </c>
      <c r="H63" s="1" t="s">
        <v>590</v>
      </c>
      <c r="I63" s="1" t="s">
        <v>3001</v>
      </c>
      <c r="J63" s="5">
        <v>224700</v>
      </c>
      <c r="K63" s="5">
        <v>140600</v>
      </c>
      <c r="L63" s="5">
        <v>703</v>
      </c>
      <c r="M63" s="1" t="s">
        <v>2308</v>
      </c>
      <c r="N63" s="1" t="s">
        <v>3983</v>
      </c>
      <c r="O63" s="1" t="s">
        <v>2521</v>
      </c>
      <c r="P63" s="1" t="s">
        <v>2515</v>
      </c>
      <c r="Q63" s="1" t="s">
        <v>4805</v>
      </c>
      <c r="R63" s="1" t="s">
        <v>4472</v>
      </c>
      <c r="S63" s="1" t="s">
        <v>4971</v>
      </c>
      <c r="T63" s="6">
        <v>44593</v>
      </c>
      <c r="U63" s="6">
        <v>44593</v>
      </c>
      <c r="V63" s="7">
        <v>0.60806191087962957</v>
      </c>
      <c r="W63" s="6">
        <v>44610</v>
      </c>
      <c r="X63" s="7">
        <v>0.61151620370370374</v>
      </c>
      <c r="Y63" s="8">
        <v>44613.469733796293</v>
      </c>
      <c r="Z63" s="5">
        <v>340</v>
      </c>
      <c r="AA63" s="1" t="s">
        <v>3403</v>
      </c>
      <c r="AB63" s="1"/>
      <c r="AC63" s="1"/>
      <c r="AD63" s="1"/>
      <c r="AE63" s="1" t="s">
        <v>3768</v>
      </c>
      <c r="AF63" s="1" t="s">
        <v>9</v>
      </c>
      <c r="AG63" s="1" t="s">
        <v>9</v>
      </c>
      <c r="AH63" s="1"/>
      <c r="AI63" s="6">
        <v>44926</v>
      </c>
    </row>
    <row r="64" spans="1:35" x14ac:dyDescent="0.3">
      <c r="A64" s="1" t="s">
        <v>1546</v>
      </c>
      <c r="B64" s="2" t="str">
        <f>HYPERLINK("https://my.zakupki.prom.ua/remote/dispatcher/state_purchase_lot_view/740807")</f>
        <v>https://my.zakupki.prom.ua/remote/dispatcher/state_purchase_lot_view/740807</v>
      </c>
      <c r="C64" s="1" t="s">
        <v>4928</v>
      </c>
      <c r="D64" s="1" t="s">
        <v>226</v>
      </c>
      <c r="E64" s="1" t="s">
        <v>4903</v>
      </c>
      <c r="F64" s="1" t="s">
        <v>4903</v>
      </c>
      <c r="G64" s="1" t="s">
        <v>4903</v>
      </c>
      <c r="H64" s="1" t="s">
        <v>590</v>
      </c>
      <c r="I64" s="1" t="s">
        <v>3001</v>
      </c>
      <c r="J64" s="5">
        <v>224700</v>
      </c>
      <c r="K64" s="5">
        <v>84100</v>
      </c>
      <c r="L64" s="5">
        <v>420.5</v>
      </c>
      <c r="M64" s="1" t="s">
        <v>2308</v>
      </c>
      <c r="N64" s="1" t="s">
        <v>3983</v>
      </c>
      <c r="O64" s="1" t="s">
        <v>2521</v>
      </c>
      <c r="P64" s="1" t="s">
        <v>2515</v>
      </c>
      <c r="Q64" s="1" t="s">
        <v>4805</v>
      </c>
      <c r="R64" s="1" t="s">
        <v>4472</v>
      </c>
      <c r="S64" s="1" t="s">
        <v>4971</v>
      </c>
      <c r="T64" s="6">
        <v>44593</v>
      </c>
      <c r="U64" s="6">
        <v>44593</v>
      </c>
      <c r="V64" s="7">
        <v>0.60806191087962957</v>
      </c>
      <c r="W64" s="6">
        <v>44610</v>
      </c>
      <c r="X64" s="7">
        <v>0.61151620370370374</v>
      </c>
      <c r="Y64" s="8">
        <v>44613.51667824074</v>
      </c>
      <c r="Z64" s="5">
        <v>340</v>
      </c>
      <c r="AA64" s="1" t="s">
        <v>3403</v>
      </c>
      <c r="AB64" s="1"/>
      <c r="AC64" s="1"/>
      <c r="AD64" s="1"/>
      <c r="AE64" s="1" t="s">
        <v>3768</v>
      </c>
      <c r="AF64" s="1" t="s">
        <v>9</v>
      </c>
      <c r="AG64" s="1" t="s">
        <v>9</v>
      </c>
      <c r="AH64" s="1"/>
      <c r="AI64" s="6">
        <v>44926</v>
      </c>
    </row>
    <row r="65" spans="1:35" x14ac:dyDescent="0.3">
      <c r="A65" s="1" t="s">
        <v>2283</v>
      </c>
      <c r="B65" s="2" t="str">
        <f>HYPERLINK("https://my.zakupki.prom.ua/remote/dispatcher/state_purchase_view/34697236")</f>
        <v>https://my.zakupki.prom.ua/remote/dispatcher/state_purchase_view/34697236</v>
      </c>
      <c r="C65" s="1" t="s">
        <v>2642</v>
      </c>
      <c r="D65" s="1" t="s">
        <v>513</v>
      </c>
      <c r="E65" s="1" t="s">
        <v>4903</v>
      </c>
      <c r="F65" s="1" t="s">
        <v>4903</v>
      </c>
      <c r="G65" s="1" t="s">
        <v>4903</v>
      </c>
      <c r="H65" s="1" t="s">
        <v>421</v>
      </c>
      <c r="I65" s="1" t="s">
        <v>2736</v>
      </c>
      <c r="J65" s="5">
        <v>30197.599999999999</v>
      </c>
      <c r="K65" s="1" t="s">
        <v>3394</v>
      </c>
      <c r="L65" s="5">
        <v>150.99</v>
      </c>
      <c r="M65" s="1" t="s">
        <v>2308</v>
      </c>
      <c r="N65" s="1" t="s">
        <v>3983</v>
      </c>
      <c r="O65" s="1" t="s">
        <v>2521</v>
      </c>
      <c r="P65" s="1" t="s">
        <v>2762</v>
      </c>
      <c r="Q65" s="1" t="s">
        <v>3035</v>
      </c>
      <c r="R65" s="1" t="s">
        <v>4081</v>
      </c>
      <c r="S65" s="1" t="s">
        <v>4937</v>
      </c>
      <c r="T65" s="6">
        <v>44593</v>
      </c>
      <c r="U65" s="6">
        <v>44599</v>
      </c>
      <c r="V65" s="7">
        <v>0.375</v>
      </c>
      <c r="W65" s="6">
        <v>44602</v>
      </c>
      <c r="X65" s="7">
        <v>0.375</v>
      </c>
      <c r="Y65" s="1" t="s">
        <v>4860</v>
      </c>
      <c r="Z65" s="5">
        <v>119</v>
      </c>
      <c r="AA65" s="1" t="s">
        <v>3403</v>
      </c>
      <c r="AB65" s="1"/>
      <c r="AC65" s="1"/>
      <c r="AD65" s="1"/>
      <c r="AE65" s="1" t="s">
        <v>3799</v>
      </c>
      <c r="AF65" s="1" t="s">
        <v>9</v>
      </c>
      <c r="AG65" s="4">
        <v>56</v>
      </c>
      <c r="AH65" s="1"/>
      <c r="AI65" s="6">
        <v>44926</v>
      </c>
    </row>
    <row r="66" spans="1:35" x14ac:dyDescent="0.3">
      <c r="A66" s="1" t="s">
        <v>1892</v>
      </c>
      <c r="B66" s="2" t="str">
        <f>HYPERLINK("https://my.zakupki.prom.ua/remote/dispatcher/state_purchase_view/34697217")</f>
        <v>https://my.zakupki.prom.ua/remote/dispatcher/state_purchase_view/34697217</v>
      </c>
      <c r="C66" s="1" t="s">
        <v>2468</v>
      </c>
      <c r="D66" s="1" t="s">
        <v>474</v>
      </c>
      <c r="E66" s="4">
        <v>329</v>
      </c>
      <c r="F66" s="5">
        <v>250.15</v>
      </c>
      <c r="G66" s="1" t="s">
        <v>4902</v>
      </c>
      <c r="H66" s="1" t="s">
        <v>860</v>
      </c>
      <c r="I66" s="1" t="s">
        <v>3194</v>
      </c>
      <c r="J66" s="5">
        <v>82300</v>
      </c>
      <c r="K66" s="1" t="s">
        <v>3394</v>
      </c>
      <c r="L66" s="5">
        <v>823</v>
      </c>
      <c r="M66" s="1" t="s">
        <v>2308</v>
      </c>
      <c r="N66" s="1" t="s">
        <v>3403</v>
      </c>
      <c r="O66" s="1" t="s">
        <v>2521</v>
      </c>
      <c r="P66" s="1" t="s">
        <v>3956</v>
      </c>
      <c r="Q66" s="1" t="s">
        <v>3035</v>
      </c>
      <c r="R66" s="1" t="s">
        <v>4081</v>
      </c>
      <c r="S66" s="1" t="s">
        <v>4937</v>
      </c>
      <c r="T66" s="6">
        <v>44593</v>
      </c>
      <c r="U66" s="6">
        <v>44599</v>
      </c>
      <c r="V66" s="7">
        <v>0</v>
      </c>
      <c r="W66" s="6">
        <v>44602</v>
      </c>
      <c r="X66" s="7">
        <v>0</v>
      </c>
      <c r="Y66" s="1" t="s">
        <v>4860</v>
      </c>
      <c r="Z66" s="5">
        <v>340</v>
      </c>
      <c r="AA66" s="1" t="s">
        <v>3403</v>
      </c>
      <c r="AB66" s="1"/>
      <c r="AC66" s="1"/>
      <c r="AD66" s="1"/>
      <c r="AE66" s="1" t="s">
        <v>3789</v>
      </c>
      <c r="AF66" s="1" t="s">
        <v>9</v>
      </c>
      <c r="AG66" s="4">
        <v>1</v>
      </c>
      <c r="AH66" s="1"/>
      <c r="AI66" s="6">
        <v>44926</v>
      </c>
    </row>
    <row r="67" spans="1:35" x14ac:dyDescent="0.3">
      <c r="A67" s="1" t="s">
        <v>2290</v>
      </c>
      <c r="B67" s="2" t="str">
        <f>HYPERLINK("https://my.zakupki.prom.ua/remote/dispatcher/state_purchase_lot_view/740776")</f>
        <v>https://my.zakupki.prom.ua/remote/dispatcher/state_purchase_lot_view/740776</v>
      </c>
      <c r="C67" s="1" t="s">
        <v>3558</v>
      </c>
      <c r="D67" s="1" t="s">
        <v>1287</v>
      </c>
      <c r="E67" s="4">
        <v>1</v>
      </c>
      <c r="F67" s="5">
        <v>2672167</v>
      </c>
      <c r="G67" s="1" t="s">
        <v>4940</v>
      </c>
      <c r="H67" s="1" t="s">
        <v>581</v>
      </c>
      <c r="I67" s="1" t="s">
        <v>4727</v>
      </c>
      <c r="J67" s="5">
        <v>4194890</v>
      </c>
      <c r="K67" s="5">
        <v>2672167</v>
      </c>
      <c r="L67" s="5">
        <v>13360.84</v>
      </c>
      <c r="M67" s="1" t="s">
        <v>2308</v>
      </c>
      <c r="N67" s="1" t="s">
        <v>3983</v>
      </c>
      <c r="O67" s="1" t="s">
        <v>2521</v>
      </c>
      <c r="P67" s="1" t="s">
        <v>2515</v>
      </c>
      <c r="Q67" s="1" t="s">
        <v>3325</v>
      </c>
      <c r="R67" s="1" t="s">
        <v>4081</v>
      </c>
      <c r="S67" s="1" t="s">
        <v>4971</v>
      </c>
      <c r="T67" s="6">
        <v>44593</v>
      </c>
      <c r="U67" s="6">
        <v>44593</v>
      </c>
      <c r="V67" s="7">
        <v>0.61295629434027776</v>
      </c>
      <c r="W67" s="6">
        <v>44609</v>
      </c>
      <c r="X67" s="7">
        <v>0.66666666666666663</v>
      </c>
      <c r="Y67" s="1" t="s">
        <v>4860</v>
      </c>
      <c r="Z67" s="5">
        <v>1700</v>
      </c>
      <c r="AA67" s="1" t="s">
        <v>3403</v>
      </c>
      <c r="AB67" s="1"/>
      <c r="AC67" s="1"/>
      <c r="AD67" s="1"/>
      <c r="AE67" s="1" t="s">
        <v>3760</v>
      </c>
      <c r="AF67" s="1" t="s">
        <v>9</v>
      </c>
      <c r="AG67" s="1" t="s">
        <v>9</v>
      </c>
      <c r="AH67" s="6">
        <v>44651</v>
      </c>
      <c r="AI67" s="6">
        <v>44926</v>
      </c>
    </row>
    <row r="68" spans="1:35" x14ac:dyDescent="0.3">
      <c r="A68" s="1" t="s">
        <v>2290</v>
      </c>
      <c r="B68" s="2" t="str">
        <f>HYPERLINK("https://my.zakupki.prom.ua/remote/dispatcher/state_purchase_lot_view/740803")</f>
        <v>https://my.zakupki.prom.ua/remote/dispatcher/state_purchase_lot_view/740803</v>
      </c>
      <c r="C68" s="1" t="s">
        <v>3558</v>
      </c>
      <c r="D68" s="1" t="s">
        <v>1287</v>
      </c>
      <c r="E68" s="4">
        <v>1</v>
      </c>
      <c r="F68" s="5">
        <v>1082522</v>
      </c>
      <c r="G68" s="1" t="s">
        <v>4940</v>
      </c>
      <c r="H68" s="1" t="s">
        <v>581</v>
      </c>
      <c r="I68" s="1" t="s">
        <v>4727</v>
      </c>
      <c r="J68" s="5">
        <v>4194890</v>
      </c>
      <c r="K68" s="5">
        <v>1082522</v>
      </c>
      <c r="L68" s="5">
        <v>5412.61</v>
      </c>
      <c r="M68" s="1" t="s">
        <v>2308</v>
      </c>
      <c r="N68" s="1" t="s">
        <v>3983</v>
      </c>
      <c r="O68" s="1" t="s">
        <v>2521</v>
      </c>
      <c r="P68" s="1" t="s">
        <v>2515</v>
      </c>
      <c r="Q68" s="1" t="s">
        <v>3325</v>
      </c>
      <c r="R68" s="1" t="s">
        <v>4081</v>
      </c>
      <c r="S68" s="1" t="s">
        <v>4971</v>
      </c>
      <c r="T68" s="6">
        <v>44593</v>
      </c>
      <c r="U68" s="6">
        <v>44593</v>
      </c>
      <c r="V68" s="7">
        <v>0.61295629434027776</v>
      </c>
      <c r="W68" s="6">
        <v>44609</v>
      </c>
      <c r="X68" s="7">
        <v>0.66666666666666663</v>
      </c>
      <c r="Y68" s="1" t="s">
        <v>4860</v>
      </c>
      <c r="Z68" s="5">
        <v>1700</v>
      </c>
      <c r="AA68" s="1" t="s">
        <v>3403</v>
      </c>
      <c r="AB68" s="1"/>
      <c r="AC68" s="1"/>
      <c r="AD68" s="1"/>
      <c r="AE68" s="1" t="s">
        <v>3760</v>
      </c>
      <c r="AF68" s="1" t="s">
        <v>9</v>
      </c>
      <c r="AG68" s="1" t="s">
        <v>9</v>
      </c>
      <c r="AH68" s="6">
        <v>44651</v>
      </c>
      <c r="AI68" s="6">
        <v>44926</v>
      </c>
    </row>
    <row r="69" spans="1:35" x14ac:dyDescent="0.3">
      <c r="A69" s="1" t="s">
        <v>2290</v>
      </c>
      <c r="B69" s="2" t="str">
        <f>HYPERLINK("https://my.zakupki.prom.ua/remote/dispatcher/state_purchase_lot_view/740804")</f>
        <v>https://my.zakupki.prom.ua/remote/dispatcher/state_purchase_lot_view/740804</v>
      </c>
      <c r="C69" s="1" t="s">
        <v>3559</v>
      </c>
      <c r="D69" s="1" t="s">
        <v>1287</v>
      </c>
      <c r="E69" s="4">
        <v>1</v>
      </c>
      <c r="F69" s="5">
        <v>187021</v>
      </c>
      <c r="G69" s="1" t="s">
        <v>4940</v>
      </c>
      <c r="H69" s="1" t="s">
        <v>581</v>
      </c>
      <c r="I69" s="1" t="s">
        <v>4727</v>
      </c>
      <c r="J69" s="5">
        <v>4194890</v>
      </c>
      <c r="K69" s="5">
        <v>187021</v>
      </c>
      <c r="L69" s="5">
        <v>935.11</v>
      </c>
      <c r="M69" s="1" t="s">
        <v>2308</v>
      </c>
      <c r="N69" s="1" t="s">
        <v>3983</v>
      </c>
      <c r="O69" s="1" t="s">
        <v>2521</v>
      </c>
      <c r="P69" s="1" t="s">
        <v>2515</v>
      </c>
      <c r="Q69" s="1" t="s">
        <v>3325</v>
      </c>
      <c r="R69" s="1" t="s">
        <v>4081</v>
      </c>
      <c r="S69" s="1" t="s">
        <v>4971</v>
      </c>
      <c r="T69" s="6">
        <v>44593</v>
      </c>
      <c r="U69" s="6">
        <v>44593</v>
      </c>
      <c r="V69" s="7">
        <v>0.61295629434027776</v>
      </c>
      <c r="W69" s="6">
        <v>44609</v>
      </c>
      <c r="X69" s="7">
        <v>0.66666666666666663</v>
      </c>
      <c r="Y69" s="1" t="s">
        <v>4860</v>
      </c>
      <c r="Z69" s="5">
        <v>340</v>
      </c>
      <c r="AA69" s="1" t="s">
        <v>3403</v>
      </c>
      <c r="AB69" s="1"/>
      <c r="AC69" s="1"/>
      <c r="AD69" s="1"/>
      <c r="AE69" s="1" t="s">
        <v>3760</v>
      </c>
      <c r="AF69" s="1" t="s">
        <v>9</v>
      </c>
      <c r="AG69" s="1" t="s">
        <v>9</v>
      </c>
      <c r="AH69" s="6">
        <v>44651</v>
      </c>
      <c r="AI69" s="6">
        <v>44926</v>
      </c>
    </row>
    <row r="70" spans="1:35" x14ac:dyDescent="0.3">
      <c r="A70" s="1" t="s">
        <v>2290</v>
      </c>
      <c r="B70" s="2" t="str">
        <f>HYPERLINK("https://my.zakupki.prom.ua/remote/dispatcher/state_purchase_lot_view/740805")</f>
        <v>https://my.zakupki.prom.ua/remote/dispatcher/state_purchase_lot_view/740805</v>
      </c>
      <c r="C70" s="1" t="s">
        <v>3560</v>
      </c>
      <c r="D70" s="1" t="s">
        <v>1287</v>
      </c>
      <c r="E70" s="4">
        <v>1</v>
      </c>
      <c r="F70" s="5">
        <v>253180</v>
      </c>
      <c r="G70" s="1" t="s">
        <v>4940</v>
      </c>
      <c r="H70" s="1" t="s">
        <v>581</v>
      </c>
      <c r="I70" s="1" t="s">
        <v>4727</v>
      </c>
      <c r="J70" s="5">
        <v>4194890</v>
      </c>
      <c r="K70" s="5">
        <v>253180</v>
      </c>
      <c r="L70" s="5">
        <v>1265.9000000000001</v>
      </c>
      <c r="M70" s="1" t="s">
        <v>2308</v>
      </c>
      <c r="N70" s="1" t="s">
        <v>3983</v>
      </c>
      <c r="O70" s="1" t="s">
        <v>2521</v>
      </c>
      <c r="P70" s="1" t="s">
        <v>2515</v>
      </c>
      <c r="Q70" s="1" t="s">
        <v>3325</v>
      </c>
      <c r="R70" s="1" t="s">
        <v>4081</v>
      </c>
      <c r="S70" s="1" t="s">
        <v>4971</v>
      </c>
      <c r="T70" s="6">
        <v>44593</v>
      </c>
      <c r="U70" s="6">
        <v>44593</v>
      </c>
      <c r="V70" s="7">
        <v>0.61295629434027776</v>
      </c>
      <c r="W70" s="6">
        <v>44609</v>
      </c>
      <c r="X70" s="7">
        <v>0.66666666666666663</v>
      </c>
      <c r="Y70" s="1" t="s">
        <v>4860</v>
      </c>
      <c r="Z70" s="5">
        <v>510</v>
      </c>
      <c r="AA70" s="1" t="s">
        <v>3403</v>
      </c>
      <c r="AB70" s="1"/>
      <c r="AC70" s="1"/>
      <c r="AD70" s="1"/>
      <c r="AE70" s="1" t="s">
        <v>3760</v>
      </c>
      <c r="AF70" s="1" t="s">
        <v>9</v>
      </c>
      <c r="AG70" s="1" t="s">
        <v>9</v>
      </c>
      <c r="AH70" s="6">
        <v>44651</v>
      </c>
      <c r="AI70" s="6">
        <v>44926</v>
      </c>
    </row>
    <row r="71" spans="1:35" x14ac:dyDescent="0.3">
      <c r="A71" s="1" t="s">
        <v>1550</v>
      </c>
      <c r="B71" s="2" t="str">
        <f>HYPERLINK("https://my.zakupki.prom.ua/remote/dispatcher/state_purchase_view/34697212")</f>
        <v>https://my.zakupki.prom.ua/remote/dispatcher/state_purchase_view/34697212</v>
      </c>
      <c r="C71" s="1" t="s">
        <v>3041</v>
      </c>
      <c r="D71" s="1" t="s">
        <v>718</v>
      </c>
      <c r="E71" s="4">
        <v>1</v>
      </c>
      <c r="F71" s="5">
        <v>9000</v>
      </c>
      <c r="G71" s="1" t="s">
        <v>4989</v>
      </c>
      <c r="H71" s="1" t="s">
        <v>389</v>
      </c>
      <c r="I71" s="1" t="s">
        <v>2581</v>
      </c>
      <c r="J71" s="5">
        <v>9000</v>
      </c>
      <c r="K71" s="1" t="s">
        <v>3394</v>
      </c>
      <c r="L71" s="5">
        <v>45</v>
      </c>
      <c r="M71" s="1" t="s">
        <v>2308</v>
      </c>
      <c r="N71" s="1" t="s">
        <v>3403</v>
      </c>
      <c r="O71" s="1" t="s">
        <v>2521</v>
      </c>
      <c r="P71" s="1" t="s">
        <v>2762</v>
      </c>
      <c r="Q71" s="1" t="s">
        <v>3325</v>
      </c>
      <c r="R71" s="1" t="s">
        <v>4081</v>
      </c>
      <c r="S71" s="1" t="s">
        <v>4937</v>
      </c>
      <c r="T71" s="6">
        <v>44593</v>
      </c>
      <c r="U71" s="6">
        <v>44599</v>
      </c>
      <c r="V71" s="7">
        <v>0.375</v>
      </c>
      <c r="W71" s="6">
        <v>44602</v>
      </c>
      <c r="X71" s="7">
        <v>0.375</v>
      </c>
      <c r="Y71" s="1" t="s">
        <v>4860</v>
      </c>
      <c r="Z71" s="5">
        <v>17</v>
      </c>
      <c r="AA71" s="1" t="s">
        <v>3403</v>
      </c>
      <c r="AB71" s="1"/>
      <c r="AC71" s="1"/>
      <c r="AD71" s="1"/>
      <c r="AE71" s="1" t="s">
        <v>3774</v>
      </c>
      <c r="AF71" s="1" t="s">
        <v>9</v>
      </c>
      <c r="AG71" s="1" t="s">
        <v>9</v>
      </c>
      <c r="AH71" s="1"/>
      <c r="AI71" s="6">
        <v>44615</v>
      </c>
    </row>
    <row r="72" spans="1:35" x14ac:dyDescent="0.3">
      <c r="A72" s="1" t="s">
        <v>1554</v>
      </c>
      <c r="B72" s="2" t="str">
        <f>HYPERLINK("https://my.zakupki.prom.ua/remote/dispatcher/state_purchase_view/34697215")</f>
        <v>https://my.zakupki.prom.ua/remote/dispatcher/state_purchase_view/34697215</v>
      </c>
      <c r="C72" s="1" t="s">
        <v>4809</v>
      </c>
      <c r="D72" s="1" t="s">
        <v>805</v>
      </c>
      <c r="E72" s="1" t="s">
        <v>4903</v>
      </c>
      <c r="F72" s="1" t="s">
        <v>4903</v>
      </c>
      <c r="G72" s="1" t="s">
        <v>4903</v>
      </c>
      <c r="H72" s="1" t="s">
        <v>838</v>
      </c>
      <c r="I72" s="1" t="s">
        <v>3188</v>
      </c>
      <c r="J72" s="5">
        <v>220000</v>
      </c>
      <c r="K72" s="1" t="s">
        <v>3394</v>
      </c>
      <c r="L72" s="5">
        <v>1100</v>
      </c>
      <c r="M72" s="1" t="s">
        <v>2308</v>
      </c>
      <c r="N72" s="1" t="s">
        <v>3983</v>
      </c>
      <c r="O72" s="1" t="s">
        <v>2521</v>
      </c>
      <c r="P72" s="1" t="s">
        <v>3956</v>
      </c>
      <c r="Q72" s="1" t="s">
        <v>2756</v>
      </c>
      <c r="R72" s="1" t="s">
        <v>4081</v>
      </c>
      <c r="S72" s="1" t="s">
        <v>4937</v>
      </c>
      <c r="T72" s="6">
        <v>44593</v>
      </c>
      <c r="U72" s="6">
        <v>44599</v>
      </c>
      <c r="V72" s="7">
        <v>0</v>
      </c>
      <c r="W72" s="6">
        <v>44601</v>
      </c>
      <c r="X72" s="7">
        <v>0</v>
      </c>
      <c r="Y72" s="1" t="s">
        <v>4860</v>
      </c>
      <c r="Z72" s="5">
        <v>510</v>
      </c>
      <c r="AA72" s="1" t="s">
        <v>3403</v>
      </c>
      <c r="AB72" s="1"/>
      <c r="AC72" s="1"/>
      <c r="AD72" s="1"/>
      <c r="AE72" s="1" t="s">
        <v>3788</v>
      </c>
      <c r="AF72" s="1" t="s">
        <v>9</v>
      </c>
      <c r="AG72" s="4">
        <v>2</v>
      </c>
      <c r="AH72" s="1"/>
      <c r="AI72" s="6">
        <v>44926</v>
      </c>
    </row>
    <row r="73" spans="1:35" x14ac:dyDescent="0.3">
      <c r="A73" s="1" t="s">
        <v>1893</v>
      </c>
      <c r="B73" s="2" t="str">
        <f>HYPERLINK("https://my.zakupki.prom.ua/remote/dispatcher/state_purchase_view/34697200")</f>
        <v>https://my.zakupki.prom.ua/remote/dispatcher/state_purchase_view/34697200</v>
      </c>
      <c r="C73" s="1" t="s">
        <v>2617</v>
      </c>
      <c r="D73" s="1" t="s">
        <v>506</v>
      </c>
      <c r="E73" s="1" t="s">
        <v>4903</v>
      </c>
      <c r="F73" s="1" t="s">
        <v>4903</v>
      </c>
      <c r="G73" s="1" t="s">
        <v>4903</v>
      </c>
      <c r="H73" s="1" t="s">
        <v>968</v>
      </c>
      <c r="I73" s="1" t="s">
        <v>4748</v>
      </c>
      <c r="J73" s="5">
        <v>20105</v>
      </c>
      <c r="K73" s="1" t="s">
        <v>3394</v>
      </c>
      <c r="L73" s="5">
        <v>100.52</v>
      </c>
      <c r="M73" s="1" t="s">
        <v>2308</v>
      </c>
      <c r="N73" s="1" t="s">
        <v>3983</v>
      </c>
      <c r="O73" s="1" t="s">
        <v>2521</v>
      </c>
      <c r="P73" s="1" t="s">
        <v>3956</v>
      </c>
      <c r="Q73" s="1" t="s">
        <v>3035</v>
      </c>
      <c r="R73" s="1" t="s">
        <v>4081</v>
      </c>
      <c r="S73" s="1" t="s">
        <v>4937</v>
      </c>
      <c r="T73" s="6">
        <v>44593</v>
      </c>
      <c r="U73" s="6">
        <v>44599</v>
      </c>
      <c r="V73" s="7">
        <v>0.375</v>
      </c>
      <c r="W73" s="6">
        <v>44602</v>
      </c>
      <c r="X73" s="7">
        <v>0.375</v>
      </c>
      <c r="Y73" s="1" t="s">
        <v>4860</v>
      </c>
      <c r="Z73" s="5">
        <v>119</v>
      </c>
      <c r="AA73" s="1" t="s">
        <v>3403</v>
      </c>
      <c r="AB73" s="1"/>
      <c r="AC73" s="1"/>
      <c r="AD73" s="1"/>
      <c r="AE73" s="1" t="s">
        <v>3806</v>
      </c>
      <c r="AF73" s="1" t="s">
        <v>9</v>
      </c>
      <c r="AG73" s="4">
        <v>139</v>
      </c>
      <c r="AH73" s="1"/>
      <c r="AI73" s="6">
        <v>44926</v>
      </c>
    </row>
    <row r="74" spans="1:35" x14ac:dyDescent="0.3">
      <c r="A74" s="1" t="s">
        <v>2247</v>
      </c>
      <c r="B74" s="2" t="str">
        <f>HYPERLINK("https://my.zakupki.prom.ua/remote/dispatcher/state_purchase_view/34697198")</f>
        <v>https://my.zakupki.prom.ua/remote/dispatcher/state_purchase_view/34697198</v>
      </c>
      <c r="C74" s="1" t="s">
        <v>3497</v>
      </c>
      <c r="D74" s="1" t="s">
        <v>1282</v>
      </c>
      <c r="E74" s="1" t="s">
        <v>4903</v>
      </c>
      <c r="F74" s="1" t="s">
        <v>4903</v>
      </c>
      <c r="G74" s="1" t="s">
        <v>4903</v>
      </c>
      <c r="H74" s="1" t="s">
        <v>629</v>
      </c>
      <c r="I74" s="1" t="s">
        <v>3156</v>
      </c>
      <c r="J74" s="5">
        <v>14000</v>
      </c>
      <c r="K74" s="1" t="s">
        <v>3394</v>
      </c>
      <c r="L74" s="5">
        <v>70</v>
      </c>
      <c r="M74" s="1" t="s">
        <v>2308</v>
      </c>
      <c r="N74" s="1" t="s">
        <v>3983</v>
      </c>
      <c r="O74" s="1" t="s">
        <v>2521</v>
      </c>
      <c r="P74" s="1" t="s">
        <v>3956</v>
      </c>
      <c r="Q74" s="1" t="s">
        <v>3035</v>
      </c>
      <c r="R74" s="1" t="s">
        <v>4464</v>
      </c>
      <c r="S74" s="1" t="s">
        <v>4937</v>
      </c>
      <c r="T74" s="6">
        <v>44593</v>
      </c>
      <c r="U74" s="6">
        <v>44599</v>
      </c>
      <c r="V74" s="7">
        <v>0.60439814814814818</v>
      </c>
      <c r="W74" s="6">
        <v>44602</v>
      </c>
      <c r="X74" s="7">
        <v>0.60439814814814818</v>
      </c>
      <c r="Y74" s="1" t="s">
        <v>4860</v>
      </c>
      <c r="Z74" s="5">
        <v>17</v>
      </c>
      <c r="AA74" s="1" t="s">
        <v>3403</v>
      </c>
      <c r="AB74" s="1"/>
      <c r="AC74" s="1"/>
      <c r="AD74" s="1"/>
      <c r="AE74" s="1" t="s">
        <v>3750</v>
      </c>
      <c r="AF74" s="1" t="s">
        <v>9</v>
      </c>
      <c r="AG74" s="1" t="s">
        <v>9</v>
      </c>
      <c r="AH74" s="1"/>
      <c r="AI74" s="6">
        <v>44926</v>
      </c>
    </row>
    <row r="75" spans="1:35" x14ac:dyDescent="0.3">
      <c r="A75" s="1" t="s">
        <v>1553</v>
      </c>
      <c r="B75" s="2" t="str">
        <f>HYPERLINK("https://my.zakupki.prom.ua/remote/dispatcher/state_purchase_view/34697182")</f>
        <v>https://my.zakupki.prom.ua/remote/dispatcher/state_purchase_view/34697182</v>
      </c>
      <c r="C75" s="1" t="s">
        <v>4847</v>
      </c>
      <c r="D75" s="1" t="s">
        <v>177</v>
      </c>
      <c r="E75" s="4">
        <v>30000</v>
      </c>
      <c r="F75" s="5">
        <v>3</v>
      </c>
      <c r="G75" s="1" t="s">
        <v>4991</v>
      </c>
      <c r="H75" s="1" t="s">
        <v>996</v>
      </c>
      <c r="I75" s="1" t="s">
        <v>2513</v>
      </c>
      <c r="J75" s="5">
        <v>90000</v>
      </c>
      <c r="K75" s="1" t="s">
        <v>3394</v>
      </c>
      <c r="L75" s="5">
        <v>500</v>
      </c>
      <c r="M75" s="1" t="s">
        <v>2308</v>
      </c>
      <c r="N75" s="1" t="s">
        <v>3983</v>
      </c>
      <c r="O75" s="1" t="s">
        <v>2521</v>
      </c>
      <c r="P75" s="1" t="s">
        <v>3956</v>
      </c>
      <c r="Q75" s="1" t="s">
        <v>3035</v>
      </c>
      <c r="R75" s="1" t="s">
        <v>4081</v>
      </c>
      <c r="S75" s="1" t="s">
        <v>4937</v>
      </c>
      <c r="T75" s="6">
        <v>44593</v>
      </c>
      <c r="U75" s="6">
        <v>44599</v>
      </c>
      <c r="V75" s="7">
        <v>0</v>
      </c>
      <c r="W75" s="6">
        <v>44601</v>
      </c>
      <c r="X75" s="7">
        <v>0</v>
      </c>
      <c r="Y75" s="1" t="s">
        <v>4860</v>
      </c>
      <c r="Z75" s="5">
        <v>340</v>
      </c>
      <c r="AA75" s="1" t="s">
        <v>3403</v>
      </c>
      <c r="AB75" s="1"/>
      <c r="AC75" s="1"/>
      <c r="AD75" s="1"/>
      <c r="AE75" s="1" t="s">
        <v>3801</v>
      </c>
      <c r="AF75" s="1" t="s">
        <v>9</v>
      </c>
      <c r="AG75" s="4">
        <v>1</v>
      </c>
      <c r="AH75" s="1"/>
      <c r="AI75" s="6">
        <v>44926</v>
      </c>
    </row>
    <row r="76" spans="1:35" x14ac:dyDescent="0.3">
      <c r="A76" s="1" t="s">
        <v>1889</v>
      </c>
      <c r="B76" s="2" t="str">
        <f>HYPERLINK("https://my.zakupki.prom.ua/remote/dispatcher/state_purchase_lot_view/740802")</f>
        <v>https://my.zakupki.prom.ua/remote/dispatcher/state_purchase_lot_view/740802</v>
      </c>
      <c r="C76" s="1" t="s">
        <v>3654</v>
      </c>
      <c r="D76" s="1" t="s">
        <v>370</v>
      </c>
      <c r="E76" s="4">
        <v>3196</v>
      </c>
      <c r="F76" s="5">
        <v>41.01</v>
      </c>
      <c r="G76" s="1" t="s">
        <v>4921</v>
      </c>
      <c r="H76" s="1" t="s">
        <v>278</v>
      </c>
      <c r="I76" s="1" t="s">
        <v>2485</v>
      </c>
      <c r="J76" s="5">
        <v>131070</v>
      </c>
      <c r="K76" s="5">
        <v>131070</v>
      </c>
      <c r="L76" s="5">
        <v>655.35</v>
      </c>
      <c r="M76" s="1" t="s">
        <v>2308</v>
      </c>
      <c r="N76" s="1" t="s">
        <v>3983</v>
      </c>
      <c r="O76" s="1" t="s">
        <v>2521</v>
      </c>
      <c r="P76" s="1" t="s">
        <v>3956</v>
      </c>
      <c r="Q76" s="1" t="s">
        <v>2756</v>
      </c>
      <c r="R76" s="1" t="s">
        <v>4081</v>
      </c>
      <c r="S76" s="1" t="s">
        <v>4937</v>
      </c>
      <c r="T76" s="6">
        <v>44593</v>
      </c>
      <c r="U76" s="6">
        <v>44597</v>
      </c>
      <c r="V76" s="7">
        <v>4.1666666666666664E-2</v>
      </c>
      <c r="W76" s="6">
        <v>44604</v>
      </c>
      <c r="X76" s="7">
        <v>0</v>
      </c>
      <c r="Y76" s="1" t="s">
        <v>4860</v>
      </c>
      <c r="Z76" s="5">
        <v>340</v>
      </c>
      <c r="AA76" s="1" t="s">
        <v>3403</v>
      </c>
      <c r="AB76" s="1"/>
      <c r="AC76" s="1"/>
      <c r="AD76" s="1"/>
      <c r="AE76" s="1" t="s">
        <v>3768</v>
      </c>
      <c r="AF76" s="1" t="s">
        <v>9</v>
      </c>
      <c r="AG76" s="4">
        <v>4</v>
      </c>
      <c r="AH76" s="1"/>
      <c r="AI76" s="6">
        <v>44926</v>
      </c>
    </row>
    <row r="77" spans="1:35" x14ac:dyDescent="0.3">
      <c r="A77" s="1" t="s">
        <v>1897</v>
      </c>
      <c r="B77" s="2" t="str">
        <f>HYPERLINK("https://my.zakupki.prom.ua/remote/dispatcher/state_purchase_view/34697160")</f>
        <v>https://my.zakupki.prom.ua/remote/dispatcher/state_purchase_view/34697160</v>
      </c>
      <c r="C77" s="1" t="s">
        <v>1160</v>
      </c>
      <c r="D77" s="1" t="s">
        <v>1158</v>
      </c>
      <c r="E77" s="4">
        <v>10</v>
      </c>
      <c r="F77" s="5">
        <v>4011.33</v>
      </c>
      <c r="G77" s="1" t="s">
        <v>4940</v>
      </c>
      <c r="H77" s="1" t="s">
        <v>1033</v>
      </c>
      <c r="I77" s="1" t="s">
        <v>3109</v>
      </c>
      <c r="J77" s="5">
        <v>40113.33</v>
      </c>
      <c r="K77" s="1" t="s">
        <v>3394</v>
      </c>
      <c r="L77" s="5">
        <v>200.56</v>
      </c>
      <c r="M77" s="1" t="s">
        <v>2308</v>
      </c>
      <c r="N77" s="1" t="s">
        <v>3983</v>
      </c>
      <c r="O77" s="1" t="s">
        <v>2521</v>
      </c>
      <c r="P77" s="1" t="s">
        <v>3956</v>
      </c>
      <c r="Q77" s="1" t="s">
        <v>4911</v>
      </c>
      <c r="R77" s="1" t="s">
        <v>4081</v>
      </c>
      <c r="S77" s="1" t="s">
        <v>4937</v>
      </c>
      <c r="T77" s="6">
        <v>44593</v>
      </c>
      <c r="U77" s="6">
        <v>44599</v>
      </c>
      <c r="V77" s="7">
        <v>0</v>
      </c>
      <c r="W77" s="6">
        <v>44602</v>
      </c>
      <c r="X77" s="7">
        <v>0</v>
      </c>
      <c r="Y77" s="1" t="s">
        <v>4860</v>
      </c>
      <c r="Z77" s="5">
        <v>119</v>
      </c>
      <c r="AA77" s="1" t="s">
        <v>3403</v>
      </c>
      <c r="AB77" s="1"/>
      <c r="AC77" s="1"/>
      <c r="AD77" s="1"/>
      <c r="AE77" s="1" t="s">
        <v>3746</v>
      </c>
      <c r="AF77" s="1" t="s">
        <v>9</v>
      </c>
      <c r="AG77" s="4">
        <v>15</v>
      </c>
      <c r="AH77" s="1"/>
      <c r="AI77" s="6">
        <v>44926</v>
      </c>
    </row>
    <row r="78" spans="1:35" x14ac:dyDescent="0.3">
      <c r="A78" s="1" t="s">
        <v>1544</v>
      </c>
      <c r="B78" s="2" t="str">
        <f>HYPERLINK("https://my.zakupki.prom.ua/remote/dispatcher/state_purchase_lot_view/740792")</f>
        <v>https://my.zakupki.prom.ua/remote/dispatcher/state_purchase_lot_view/740792</v>
      </c>
      <c r="C78" s="1" t="s">
        <v>4818</v>
      </c>
      <c r="D78" s="1" t="s">
        <v>1243</v>
      </c>
      <c r="E78" s="4">
        <v>1</v>
      </c>
      <c r="F78" s="5">
        <v>5562.5</v>
      </c>
      <c r="G78" s="1" t="s">
        <v>4940</v>
      </c>
      <c r="H78" s="1" t="s">
        <v>563</v>
      </c>
      <c r="I78" s="1" t="s">
        <v>2546</v>
      </c>
      <c r="J78" s="5">
        <v>55625</v>
      </c>
      <c r="K78" s="5">
        <v>5562.5</v>
      </c>
      <c r="L78" s="5">
        <v>27.81</v>
      </c>
      <c r="M78" s="1" t="s">
        <v>2308</v>
      </c>
      <c r="N78" s="1" t="s">
        <v>3983</v>
      </c>
      <c r="O78" s="1" t="s">
        <v>2521</v>
      </c>
      <c r="P78" s="1" t="s">
        <v>2515</v>
      </c>
      <c r="Q78" s="1" t="s">
        <v>2756</v>
      </c>
      <c r="R78" s="1" t="s">
        <v>4252</v>
      </c>
      <c r="S78" s="1" t="s">
        <v>4971</v>
      </c>
      <c r="T78" s="6">
        <v>44593</v>
      </c>
      <c r="U78" s="6">
        <v>44593</v>
      </c>
      <c r="V78" s="7">
        <v>0.60712194356481486</v>
      </c>
      <c r="W78" s="6">
        <v>44609</v>
      </c>
      <c r="X78" s="7">
        <v>0.61057870370370371</v>
      </c>
      <c r="Y78" s="8">
        <v>44610.572754629633</v>
      </c>
      <c r="Z78" s="5">
        <v>17</v>
      </c>
      <c r="AA78" s="1" t="s">
        <v>3403</v>
      </c>
      <c r="AB78" s="1"/>
      <c r="AC78" s="1"/>
      <c r="AD78" s="1"/>
      <c r="AE78" s="1" t="s">
        <v>3818</v>
      </c>
      <c r="AF78" s="1" t="s">
        <v>9</v>
      </c>
      <c r="AG78" s="4">
        <v>28</v>
      </c>
      <c r="AH78" s="1"/>
      <c r="AI78" s="6">
        <v>44926</v>
      </c>
    </row>
    <row r="79" spans="1:35" x14ac:dyDescent="0.3">
      <c r="A79" s="1" t="s">
        <v>1544</v>
      </c>
      <c r="B79" s="2" t="str">
        <f>HYPERLINK("https://my.zakupki.prom.ua/remote/dispatcher/state_purchase_lot_view/740793")</f>
        <v>https://my.zakupki.prom.ua/remote/dispatcher/state_purchase_lot_view/740793</v>
      </c>
      <c r="C79" s="1" t="s">
        <v>4822</v>
      </c>
      <c r="D79" s="1" t="s">
        <v>1243</v>
      </c>
      <c r="E79" s="4">
        <v>1</v>
      </c>
      <c r="F79" s="5">
        <v>5562.5</v>
      </c>
      <c r="G79" s="1" t="s">
        <v>4940</v>
      </c>
      <c r="H79" s="1" t="s">
        <v>563</v>
      </c>
      <c r="I79" s="1" t="s">
        <v>2546</v>
      </c>
      <c r="J79" s="5">
        <v>55625</v>
      </c>
      <c r="K79" s="5">
        <v>5562.5</v>
      </c>
      <c r="L79" s="5">
        <v>27.81</v>
      </c>
      <c r="M79" s="1" t="s">
        <v>2308</v>
      </c>
      <c r="N79" s="1" t="s">
        <v>3983</v>
      </c>
      <c r="O79" s="1" t="s">
        <v>2521</v>
      </c>
      <c r="P79" s="1" t="s">
        <v>2515</v>
      </c>
      <c r="Q79" s="1" t="s">
        <v>2756</v>
      </c>
      <c r="R79" s="1" t="s">
        <v>4420</v>
      </c>
      <c r="S79" s="1" t="s">
        <v>4971</v>
      </c>
      <c r="T79" s="6">
        <v>44593</v>
      </c>
      <c r="U79" s="6">
        <v>44593</v>
      </c>
      <c r="V79" s="7">
        <v>0.60712194356481486</v>
      </c>
      <c r="W79" s="6">
        <v>44609</v>
      </c>
      <c r="X79" s="7">
        <v>0.61057870370370371</v>
      </c>
      <c r="Y79" s="8">
        <v>44610.588194444441</v>
      </c>
      <c r="Z79" s="5">
        <v>17</v>
      </c>
      <c r="AA79" s="1" t="s">
        <v>3403</v>
      </c>
      <c r="AB79" s="1"/>
      <c r="AC79" s="1"/>
      <c r="AD79" s="1"/>
      <c r="AE79" s="1" t="s">
        <v>3818</v>
      </c>
      <c r="AF79" s="1" t="s">
        <v>9</v>
      </c>
      <c r="AG79" s="4">
        <v>28</v>
      </c>
      <c r="AH79" s="1"/>
      <c r="AI79" s="6">
        <v>44926</v>
      </c>
    </row>
    <row r="80" spans="1:35" x14ac:dyDescent="0.3">
      <c r="A80" s="1" t="s">
        <v>1544</v>
      </c>
      <c r="B80" s="2" t="str">
        <f>HYPERLINK("https://my.zakupki.prom.ua/remote/dispatcher/state_purchase_lot_view/740794")</f>
        <v>https://my.zakupki.prom.ua/remote/dispatcher/state_purchase_lot_view/740794</v>
      </c>
      <c r="C80" s="1" t="s">
        <v>4823</v>
      </c>
      <c r="D80" s="1" t="s">
        <v>1243</v>
      </c>
      <c r="E80" s="4">
        <v>1</v>
      </c>
      <c r="F80" s="5">
        <v>5562.5</v>
      </c>
      <c r="G80" s="1" t="s">
        <v>4940</v>
      </c>
      <c r="H80" s="1" t="s">
        <v>563</v>
      </c>
      <c r="I80" s="1" t="s">
        <v>2546</v>
      </c>
      <c r="J80" s="5">
        <v>55625</v>
      </c>
      <c r="K80" s="5">
        <v>5562.5</v>
      </c>
      <c r="L80" s="5">
        <v>27.81</v>
      </c>
      <c r="M80" s="1" t="s">
        <v>2308</v>
      </c>
      <c r="N80" s="1" t="s">
        <v>3983</v>
      </c>
      <c r="O80" s="1" t="s">
        <v>2521</v>
      </c>
      <c r="P80" s="1" t="s">
        <v>2515</v>
      </c>
      <c r="Q80" s="1" t="s">
        <v>2756</v>
      </c>
      <c r="R80" s="1" t="s">
        <v>4412</v>
      </c>
      <c r="S80" s="1" t="s">
        <v>4971</v>
      </c>
      <c r="T80" s="6">
        <v>44593</v>
      </c>
      <c r="U80" s="6">
        <v>44593</v>
      </c>
      <c r="V80" s="7">
        <v>0.60712194356481486</v>
      </c>
      <c r="W80" s="6">
        <v>44609</v>
      </c>
      <c r="X80" s="7">
        <v>0.61057870370370371</v>
      </c>
      <c r="Y80" s="8">
        <v>44610.613611111112</v>
      </c>
      <c r="Z80" s="5">
        <v>17</v>
      </c>
      <c r="AA80" s="1" t="s">
        <v>3403</v>
      </c>
      <c r="AB80" s="1"/>
      <c r="AC80" s="1"/>
      <c r="AD80" s="1"/>
      <c r="AE80" s="1" t="s">
        <v>3818</v>
      </c>
      <c r="AF80" s="1" t="s">
        <v>9</v>
      </c>
      <c r="AG80" s="4">
        <v>28</v>
      </c>
      <c r="AH80" s="1"/>
      <c r="AI80" s="6">
        <v>44926</v>
      </c>
    </row>
    <row r="81" spans="1:35" x14ac:dyDescent="0.3">
      <c r="A81" s="1" t="s">
        <v>1544</v>
      </c>
      <c r="B81" s="2" t="str">
        <f>HYPERLINK("https://my.zakupki.prom.ua/remote/dispatcher/state_purchase_lot_view/740795")</f>
        <v>https://my.zakupki.prom.ua/remote/dispatcher/state_purchase_lot_view/740795</v>
      </c>
      <c r="C81" s="1" t="s">
        <v>4820</v>
      </c>
      <c r="D81" s="1" t="s">
        <v>1243</v>
      </c>
      <c r="E81" s="4">
        <v>1</v>
      </c>
      <c r="F81" s="5">
        <v>5562.5</v>
      </c>
      <c r="G81" s="1" t="s">
        <v>4940</v>
      </c>
      <c r="H81" s="1" t="s">
        <v>563</v>
      </c>
      <c r="I81" s="1" t="s">
        <v>2546</v>
      </c>
      <c r="J81" s="5">
        <v>55625</v>
      </c>
      <c r="K81" s="5">
        <v>5562.5</v>
      </c>
      <c r="L81" s="5">
        <v>27.81</v>
      </c>
      <c r="M81" s="1" t="s">
        <v>2308</v>
      </c>
      <c r="N81" s="1" t="s">
        <v>3983</v>
      </c>
      <c r="O81" s="1" t="s">
        <v>2521</v>
      </c>
      <c r="P81" s="1" t="s">
        <v>2515</v>
      </c>
      <c r="Q81" s="1" t="s">
        <v>2756</v>
      </c>
      <c r="R81" s="1" t="s">
        <v>4368</v>
      </c>
      <c r="S81" s="1" t="s">
        <v>4971</v>
      </c>
      <c r="T81" s="6">
        <v>44593</v>
      </c>
      <c r="U81" s="6">
        <v>44593</v>
      </c>
      <c r="V81" s="7">
        <v>0.60712194356481486</v>
      </c>
      <c r="W81" s="6">
        <v>44609</v>
      </c>
      <c r="X81" s="7">
        <v>0.61057870370370371</v>
      </c>
      <c r="Y81" s="8">
        <v>44610.629699074074</v>
      </c>
      <c r="Z81" s="5">
        <v>17</v>
      </c>
      <c r="AA81" s="1" t="s">
        <v>3403</v>
      </c>
      <c r="AB81" s="1"/>
      <c r="AC81" s="1"/>
      <c r="AD81" s="1"/>
      <c r="AE81" s="1" t="s">
        <v>3818</v>
      </c>
      <c r="AF81" s="1" t="s">
        <v>9</v>
      </c>
      <c r="AG81" s="4">
        <v>28</v>
      </c>
      <c r="AH81" s="1"/>
      <c r="AI81" s="6">
        <v>44926</v>
      </c>
    </row>
    <row r="82" spans="1:35" x14ac:dyDescent="0.3">
      <c r="A82" s="1" t="s">
        <v>1544</v>
      </c>
      <c r="B82" s="2" t="str">
        <f>HYPERLINK("https://my.zakupki.prom.ua/remote/dispatcher/state_purchase_lot_view/740796")</f>
        <v>https://my.zakupki.prom.ua/remote/dispatcher/state_purchase_lot_view/740796</v>
      </c>
      <c r="C82" s="1" t="s">
        <v>4819</v>
      </c>
      <c r="D82" s="1" t="s">
        <v>1243</v>
      </c>
      <c r="E82" s="4">
        <v>1</v>
      </c>
      <c r="F82" s="5">
        <v>5562.5</v>
      </c>
      <c r="G82" s="1" t="s">
        <v>4940</v>
      </c>
      <c r="H82" s="1" t="s">
        <v>563</v>
      </c>
      <c r="I82" s="1" t="s">
        <v>2546</v>
      </c>
      <c r="J82" s="5">
        <v>55625</v>
      </c>
      <c r="K82" s="5">
        <v>5562.5</v>
      </c>
      <c r="L82" s="5">
        <v>27.81</v>
      </c>
      <c r="M82" s="1" t="s">
        <v>2308</v>
      </c>
      <c r="N82" s="1" t="s">
        <v>3983</v>
      </c>
      <c r="O82" s="1" t="s">
        <v>2521</v>
      </c>
      <c r="P82" s="1" t="s">
        <v>2515</v>
      </c>
      <c r="Q82" s="1" t="s">
        <v>2756</v>
      </c>
      <c r="R82" s="1" t="s">
        <v>4383</v>
      </c>
      <c r="S82" s="1" t="s">
        <v>4971</v>
      </c>
      <c r="T82" s="6">
        <v>44593</v>
      </c>
      <c r="U82" s="6">
        <v>44593</v>
      </c>
      <c r="V82" s="7">
        <v>0.60712194356481486</v>
      </c>
      <c r="W82" s="6">
        <v>44609</v>
      </c>
      <c r="X82" s="7">
        <v>0.61057870370370371</v>
      </c>
      <c r="Y82" s="8">
        <v>44610.660266203704</v>
      </c>
      <c r="Z82" s="5">
        <v>17</v>
      </c>
      <c r="AA82" s="1" t="s">
        <v>3403</v>
      </c>
      <c r="AB82" s="1"/>
      <c r="AC82" s="1"/>
      <c r="AD82" s="1"/>
      <c r="AE82" s="1" t="s">
        <v>3818</v>
      </c>
      <c r="AF82" s="1" t="s">
        <v>9</v>
      </c>
      <c r="AG82" s="4">
        <v>28</v>
      </c>
      <c r="AH82" s="1"/>
      <c r="AI82" s="6">
        <v>44926</v>
      </c>
    </row>
    <row r="83" spans="1:35" x14ac:dyDescent="0.3">
      <c r="A83" s="1" t="s">
        <v>1544</v>
      </c>
      <c r="B83" s="2" t="str">
        <f>HYPERLINK("https://my.zakupki.prom.ua/remote/dispatcher/state_purchase_lot_view/740797")</f>
        <v>https://my.zakupki.prom.ua/remote/dispatcher/state_purchase_lot_view/740797</v>
      </c>
      <c r="C83" s="1" t="s">
        <v>4821</v>
      </c>
      <c r="D83" s="1" t="s">
        <v>1243</v>
      </c>
      <c r="E83" s="4">
        <v>1</v>
      </c>
      <c r="F83" s="5">
        <v>5562.5</v>
      </c>
      <c r="G83" s="1" t="s">
        <v>4940</v>
      </c>
      <c r="H83" s="1" t="s">
        <v>563</v>
      </c>
      <c r="I83" s="1" t="s">
        <v>2546</v>
      </c>
      <c r="J83" s="5">
        <v>55625</v>
      </c>
      <c r="K83" s="5">
        <v>5562.5</v>
      </c>
      <c r="L83" s="5">
        <v>27.81</v>
      </c>
      <c r="M83" s="1" t="s">
        <v>2308</v>
      </c>
      <c r="N83" s="1" t="s">
        <v>3983</v>
      </c>
      <c r="O83" s="1" t="s">
        <v>2521</v>
      </c>
      <c r="P83" s="1" t="s">
        <v>2515</v>
      </c>
      <c r="Q83" s="1" t="s">
        <v>2756</v>
      </c>
      <c r="R83" s="1" t="s">
        <v>4272</v>
      </c>
      <c r="S83" s="1" t="s">
        <v>4971</v>
      </c>
      <c r="T83" s="6">
        <v>44593</v>
      </c>
      <c r="U83" s="6">
        <v>44593</v>
      </c>
      <c r="V83" s="7">
        <v>0.60712194356481486</v>
      </c>
      <c r="W83" s="6">
        <v>44609</v>
      </c>
      <c r="X83" s="7">
        <v>0.61057870370370371</v>
      </c>
      <c r="Y83" s="8">
        <v>44610.461435185185</v>
      </c>
      <c r="Z83" s="5">
        <v>17</v>
      </c>
      <c r="AA83" s="1" t="s">
        <v>3403</v>
      </c>
      <c r="AB83" s="1"/>
      <c r="AC83" s="1"/>
      <c r="AD83" s="1"/>
      <c r="AE83" s="1" t="s">
        <v>3818</v>
      </c>
      <c r="AF83" s="1" t="s">
        <v>9</v>
      </c>
      <c r="AG83" s="4">
        <v>28</v>
      </c>
      <c r="AH83" s="1"/>
      <c r="AI83" s="6">
        <v>44926</v>
      </c>
    </row>
    <row r="84" spans="1:35" x14ac:dyDescent="0.3">
      <c r="A84" s="1" t="s">
        <v>1544</v>
      </c>
      <c r="B84" s="2" t="str">
        <f>HYPERLINK("https://my.zakupki.prom.ua/remote/dispatcher/state_purchase_lot_view/740798")</f>
        <v>https://my.zakupki.prom.ua/remote/dispatcher/state_purchase_lot_view/740798</v>
      </c>
      <c r="C84" s="1" t="s">
        <v>4816</v>
      </c>
      <c r="D84" s="1" t="s">
        <v>1243</v>
      </c>
      <c r="E84" s="4">
        <v>1</v>
      </c>
      <c r="F84" s="5">
        <v>5562.5</v>
      </c>
      <c r="G84" s="1" t="s">
        <v>4940</v>
      </c>
      <c r="H84" s="1" t="s">
        <v>563</v>
      </c>
      <c r="I84" s="1" t="s">
        <v>2546</v>
      </c>
      <c r="J84" s="5">
        <v>55625</v>
      </c>
      <c r="K84" s="5">
        <v>5562.5</v>
      </c>
      <c r="L84" s="5">
        <v>27.81</v>
      </c>
      <c r="M84" s="1" t="s">
        <v>2308</v>
      </c>
      <c r="N84" s="1" t="s">
        <v>3983</v>
      </c>
      <c r="O84" s="1" t="s">
        <v>2521</v>
      </c>
      <c r="P84" s="1" t="s">
        <v>2515</v>
      </c>
      <c r="Q84" s="1" t="s">
        <v>2756</v>
      </c>
      <c r="R84" s="1" t="s">
        <v>4360</v>
      </c>
      <c r="S84" s="1" t="s">
        <v>4971</v>
      </c>
      <c r="T84" s="6">
        <v>44593</v>
      </c>
      <c r="U84" s="6">
        <v>44593</v>
      </c>
      <c r="V84" s="7">
        <v>0.60712194356481486</v>
      </c>
      <c r="W84" s="6">
        <v>44609</v>
      </c>
      <c r="X84" s="7">
        <v>0.61057870370370371</v>
      </c>
      <c r="Y84" s="8">
        <v>44610.498576388891</v>
      </c>
      <c r="Z84" s="5">
        <v>17</v>
      </c>
      <c r="AA84" s="1" t="s">
        <v>3403</v>
      </c>
      <c r="AB84" s="1"/>
      <c r="AC84" s="1"/>
      <c r="AD84" s="1"/>
      <c r="AE84" s="1" t="s">
        <v>3818</v>
      </c>
      <c r="AF84" s="1" t="s">
        <v>9</v>
      </c>
      <c r="AG84" s="4">
        <v>28</v>
      </c>
      <c r="AH84" s="1"/>
      <c r="AI84" s="6">
        <v>44926</v>
      </c>
    </row>
    <row r="85" spans="1:35" x14ac:dyDescent="0.3">
      <c r="A85" s="1" t="s">
        <v>1544</v>
      </c>
      <c r="B85" s="2" t="str">
        <f>HYPERLINK("https://my.zakupki.prom.ua/remote/dispatcher/state_purchase_lot_view/740799")</f>
        <v>https://my.zakupki.prom.ua/remote/dispatcher/state_purchase_lot_view/740799</v>
      </c>
      <c r="C85" s="1" t="s">
        <v>4815</v>
      </c>
      <c r="D85" s="1" t="s">
        <v>1243</v>
      </c>
      <c r="E85" s="4">
        <v>1</v>
      </c>
      <c r="F85" s="5">
        <v>5562.5</v>
      </c>
      <c r="G85" s="1" t="s">
        <v>4940</v>
      </c>
      <c r="H85" s="1" t="s">
        <v>563</v>
      </c>
      <c r="I85" s="1" t="s">
        <v>2546</v>
      </c>
      <c r="J85" s="5">
        <v>55625</v>
      </c>
      <c r="K85" s="5">
        <v>5562.5</v>
      </c>
      <c r="L85" s="5">
        <v>27.81</v>
      </c>
      <c r="M85" s="1" t="s">
        <v>2308</v>
      </c>
      <c r="N85" s="1" t="s">
        <v>3983</v>
      </c>
      <c r="O85" s="1" t="s">
        <v>2521</v>
      </c>
      <c r="P85" s="1" t="s">
        <v>2515</v>
      </c>
      <c r="Q85" s="1" t="s">
        <v>2756</v>
      </c>
      <c r="R85" s="1" t="s">
        <v>4648</v>
      </c>
      <c r="S85" s="1" t="s">
        <v>4971</v>
      </c>
      <c r="T85" s="6">
        <v>44593</v>
      </c>
      <c r="U85" s="6">
        <v>44593</v>
      </c>
      <c r="V85" s="7">
        <v>0.60712194356481486</v>
      </c>
      <c r="W85" s="6">
        <v>44609</v>
      </c>
      <c r="X85" s="7">
        <v>0.61057870370370371</v>
      </c>
      <c r="Y85" s="8">
        <v>44610.509085648147</v>
      </c>
      <c r="Z85" s="5">
        <v>17</v>
      </c>
      <c r="AA85" s="1" t="s">
        <v>3403</v>
      </c>
      <c r="AB85" s="1"/>
      <c r="AC85" s="1"/>
      <c r="AD85" s="1"/>
      <c r="AE85" s="1" t="s">
        <v>3818</v>
      </c>
      <c r="AF85" s="1" t="s">
        <v>9</v>
      </c>
      <c r="AG85" s="4">
        <v>28</v>
      </c>
      <c r="AH85" s="1"/>
      <c r="AI85" s="6">
        <v>44926</v>
      </c>
    </row>
    <row r="86" spans="1:35" x14ac:dyDescent="0.3">
      <c r="A86" s="1" t="s">
        <v>1544</v>
      </c>
      <c r="B86" s="2" t="str">
        <f>HYPERLINK("https://my.zakupki.prom.ua/remote/dispatcher/state_purchase_lot_view/740800")</f>
        <v>https://my.zakupki.prom.ua/remote/dispatcher/state_purchase_lot_view/740800</v>
      </c>
      <c r="C86" s="1" t="s">
        <v>4824</v>
      </c>
      <c r="D86" s="1" t="s">
        <v>1243</v>
      </c>
      <c r="E86" s="4">
        <v>1</v>
      </c>
      <c r="F86" s="5">
        <v>5562.5</v>
      </c>
      <c r="G86" s="1" t="s">
        <v>4940</v>
      </c>
      <c r="H86" s="1" t="s">
        <v>563</v>
      </c>
      <c r="I86" s="1" t="s">
        <v>2546</v>
      </c>
      <c r="J86" s="5">
        <v>55625</v>
      </c>
      <c r="K86" s="5">
        <v>5562.5</v>
      </c>
      <c r="L86" s="5">
        <v>27.81</v>
      </c>
      <c r="M86" s="1" t="s">
        <v>2308</v>
      </c>
      <c r="N86" s="1" t="s">
        <v>3983</v>
      </c>
      <c r="O86" s="1" t="s">
        <v>2521</v>
      </c>
      <c r="P86" s="1" t="s">
        <v>2515</v>
      </c>
      <c r="Q86" s="1" t="s">
        <v>2756</v>
      </c>
      <c r="R86" s="1" t="s">
        <v>4334</v>
      </c>
      <c r="S86" s="1" t="s">
        <v>4971</v>
      </c>
      <c r="T86" s="6">
        <v>44593</v>
      </c>
      <c r="U86" s="6">
        <v>44593</v>
      </c>
      <c r="V86" s="7">
        <v>0.60712194356481486</v>
      </c>
      <c r="W86" s="6">
        <v>44609</v>
      </c>
      <c r="X86" s="7">
        <v>0.61057870370370371</v>
      </c>
      <c r="Y86" s="8">
        <v>44610.532500000001</v>
      </c>
      <c r="Z86" s="5">
        <v>17</v>
      </c>
      <c r="AA86" s="1" t="s">
        <v>3403</v>
      </c>
      <c r="AB86" s="1"/>
      <c r="AC86" s="1"/>
      <c r="AD86" s="1"/>
      <c r="AE86" s="1" t="s">
        <v>3818</v>
      </c>
      <c r="AF86" s="1" t="s">
        <v>9</v>
      </c>
      <c r="AG86" s="4">
        <v>28</v>
      </c>
      <c r="AH86" s="1"/>
      <c r="AI86" s="6">
        <v>44926</v>
      </c>
    </row>
    <row r="87" spans="1:35" x14ac:dyDescent="0.3">
      <c r="A87" s="1" t="s">
        <v>1544</v>
      </c>
      <c r="B87" s="2" t="str">
        <f>HYPERLINK("https://my.zakupki.prom.ua/remote/dispatcher/state_purchase_lot_view/740801")</f>
        <v>https://my.zakupki.prom.ua/remote/dispatcher/state_purchase_lot_view/740801</v>
      </c>
      <c r="C87" s="1" t="s">
        <v>4817</v>
      </c>
      <c r="D87" s="1" t="s">
        <v>1243</v>
      </c>
      <c r="E87" s="4">
        <v>1</v>
      </c>
      <c r="F87" s="5">
        <v>5562.5</v>
      </c>
      <c r="G87" s="1" t="s">
        <v>4940</v>
      </c>
      <c r="H87" s="1" t="s">
        <v>563</v>
      </c>
      <c r="I87" s="1" t="s">
        <v>2546</v>
      </c>
      <c r="J87" s="5">
        <v>55625</v>
      </c>
      <c r="K87" s="5">
        <v>5562.5</v>
      </c>
      <c r="L87" s="5">
        <v>27.81</v>
      </c>
      <c r="M87" s="1" t="s">
        <v>2308</v>
      </c>
      <c r="N87" s="1" t="s">
        <v>3983</v>
      </c>
      <c r="O87" s="1" t="s">
        <v>2521</v>
      </c>
      <c r="P87" s="1" t="s">
        <v>2515</v>
      </c>
      <c r="Q87" s="1" t="s">
        <v>2756</v>
      </c>
      <c r="R87" s="1" t="s">
        <v>4646</v>
      </c>
      <c r="S87" s="1" t="s">
        <v>4971</v>
      </c>
      <c r="T87" s="6">
        <v>44593</v>
      </c>
      <c r="U87" s="6">
        <v>44593</v>
      </c>
      <c r="V87" s="7">
        <v>0.60712194356481486</v>
      </c>
      <c r="W87" s="6">
        <v>44609</v>
      </c>
      <c r="X87" s="7">
        <v>0.61057870370370371</v>
      </c>
      <c r="Y87" s="8">
        <v>44610.561666666668</v>
      </c>
      <c r="Z87" s="5">
        <v>17</v>
      </c>
      <c r="AA87" s="1" t="s">
        <v>3403</v>
      </c>
      <c r="AB87" s="1"/>
      <c r="AC87" s="1"/>
      <c r="AD87" s="1"/>
      <c r="AE87" s="1" t="s">
        <v>3818</v>
      </c>
      <c r="AF87" s="1" t="s">
        <v>9</v>
      </c>
      <c r="AG87" s="4">
        <v>28</v>
      </c>
      <c r="AH87" s="1"/>
      <c r="AI87" s="6">
        <v>44926</v>
      </c>
    </row>
    <row r="88" spans="1:35" x14ac:dyDescent="0.3">
      <c r="A88" s="1" t="s">
        <v>2289</v>
      </c>
      <c r="B88" s="2" t="str">
        <f>HYPERLINK("https://my.zakupki.prom.ua/remote/dispatcher/state_purchase_view/34697138")</f>
        <v>https://my.zakupki.prom.ua/remote/dispatcher/state_purchase_view/34697138</v>
      </c>
      <c r="C88" s="1" t="s">
        <v>2418</v>
      </c>
      <c r="D88" s="1" t="s">
        <v>752</v>
      </c>
      <c r="E88" s="4">
        <v>1</v>
      </c>
      <c r="F88" s="5">
        <v>25000</v>
      </c>
      <c r="G88" s="1" t="s">
        <v>4989</v>
      </c>
      <c r="H88" s="1" t="s">
        <v>389</v>
      </c>
      <c r="I88" s="1" t="s">
        <v>2581</v>
      </c>
      <c r="J88" s="5">
        <v>25000</v>
      </c>
      <c r="K88" s="1" t="s">
        <v>3394</v>
      </c>
      <c r="L88" s="5">
        <v>125</v>
      </c>
      <c r="M88" s="1" t="s">
        <v>2308</v>
      </c>
      <c r="N88" s="1" t="s">
        <v>3403</v>
      </c>
      <c r="O88" s="1" t="s">
        <v>2521</v>
      </c>
      <c r="P88" s="1" t="s">
        <v>2762</v>
      </c>
      <c r="Q88" s="1" t="s">
        <v>3325</v>
      </c>
      <c r="R88" s="1" t="s">
        <v>4081</v>
      </c>
      <c r="S88" s="1" t="s">
        <v>4937</v>
      </c>
      <c r="T88" s="6">
        <v>44593</v>
      </c>
      <c r="U88" s="6">
        <v>44599</v>
      </c>
      <c r="V88" s="7">
        <v>0.375</v>
      </c>
      <c r="W88" s="6">
        <v>44602</v>
      </c>
      <c r="X88" s="7">
        <v>0.375</v>
      </c>
      <c r="Y88" s="1" t="s">
        <v>4860</v>
      </c>
      <c r="Z88" s="5">
        <v>119</v>
      </c>
      <c r="AA88" s="1" t="s">
        <v>3403</v>
      </c>
      <c r="AB88" s="1"/>
      <c r="AC88" s="1"/>
      <c r="AD88" s="1"/>
      <c r="AE88" s="1" t="s">
        <v>3774</v>
      </c>
      <c r="AF88" s="1" t="s">
        <v>9</v>
      </c>
      <c r="AG88" s="1" t="s">
        <v>9</v>
      </c>
      <c r="AH88" s="1"/>
      <c r="AI88" s="6">
        <v>44615</v>
      </c>
    </row>
    <row r="89" spans="1:35" x14ac:dyDescent="0.3">
      <c r="A89" s="1" t="s">
        <v>1551</v>
      </c>
      <c r="B89" s="2" t="str">
        <f>HYPERLINK("https://my.zakupki.prom.ua/remote/dispatcher/state_purchase_view/34697131")</f>
        <v>https://my.zakupki.prom.ua/remote/dispatcher/state_purchase_view/34697131</v>
      </c>
      <c r="C89" s="1" t="s">
        <v>4808</v>
      </c>
      <c r="D89" s="1" t="s">
        <v>633</v>
      </c>
      <c r="E89" s="1" t="s">
        <v>4903</v>
      </c>
      <c r="F89" s="1" t="s">
        <v>4903</v>
      </c>
      <c r="G89" s="1" t="s">
        <v>4903</v>
      </c>
      <c r="H89" s="1" t="s">
        <v>265</v>
      </c>
      <c r="I89" s="1" t="s">
        <v>2935</v>
      </c>
      <c r="J89" s="5">
        <v>369260</v>
      </c>
      <c r="K89" s="1" t="s">
        <v>3394</v>
      </c>
      <c r="L89" s="5">
        <v>1846.3</v>
      </c>
      <c r="M89" s="1" t="s">
        <v>2308</v>
      </c>
      <c r="N89" s="1" t="s">
        <v>3983</v>
      </c>
      <c r="O89" s="1" t="s">
        <v>2521</v>
      </c>
      <c r="P89" s="1" t="s">
        <v>3956</v>
      </c>
      <c r="Q89" s="1" t="s">
        <v>3504</v>
      </c>
      <c r="R89" s="1" t="s">
        <v>4679</v>
      </c>
      <c r="S89" s="1" t="s">
        <v>4937</v>
      </c>
      <c r="T89" s="6">
        <v>44593</v>
      </c>
      <c r="U89" s="6">
        <v>44599</v>
      </c>
      <c r="V89" s="7">
        <v>0</v>
      </c>
      <c r="W89" s="6">
        <v>44602</v>
      </c>
      <c r="X89" s="7">
        <v>0</v>
      </c>
      <c r="Y89" s="1" t="s">
        <v>4860</v>
      </c>
      <c r="Z89" s="5">
        <v>510</v>
      </c>
      <c r="AA89" s="1" t="s">
        <v>3403</v>
      </c>
      <c r="AB89" s="1"/>
      <c r="AC89" s="1"/>
      <c r="AD89" s="1"/>
      <c r="AE89" s="1" t="s">
        <v>3806</v>
      </c>
      <c r="AF89" s="1" t="s">
        <v>9</v>
      </c>
      <c r="AG89" s="4">
        <v>14</v>
      </c>
      <c r="AH89" s="6">
        <v>44607</v>
      </c>
      <c r="AI89" s="6">
        <v>44926</v>
      </c>
    </row>
    <row r="90" spans="1:35" x14ac:dyDescent="0.3">
      <c r="A90" s="1" t="s">
        <v>2287</v>
      </c>
      <c r="B90" s="2" t="str">
        <f>HYPERLINK("https://my.zakupki.prom.ua/remote/dispatcher/state_purchase_view/34697123")</f>
        <v>https://my.zakupki.prom.ua/remote/dispatcher/state_purchase_view/34697123</v>
      </c>
      <c r="C90" s="1" t="s">
        <v>1169</v>
      </c>
      <c r="D90" s="1" t="s">
        <v>1172</v>
      </c>
      <c r="E90" s="4">
        <v>1</v>
      </c>
      <c r="F90" s="5">
        <v>87666.67</v>
      </c>
      <c r="G90" s="1" t="s">
        <v>4939</v>
      </c>
      <c r="H90" s="1" t="s">
        <v>14</v>
      </c>
      <c r="I90" s="1" t="s">
        <v>3468</v>
      </c>
      <c r="J90" s="5">
        <v>87666.67</v>
      </c>
      <c r="K90" s="1" t="s">
        <v>3394</v>
      </c>
      <c r="L90" s="5">
        <v>876.67</v>
      </c>
      <c r="M90" s="1" t="s">
        <v>2308</v>
      </c>
      <c r="N90" s="1" t="s">
        <v>3403</v>
      </c>
      <c r="O90" s="1" t="s">
        <v>2521</v>
      </c>
      <c r="P90" s="1" t="s">
        <v>2515</v>
      </c>
      <c r="Q90" s="1" t="s">
        <v>3035</v>
      </c>
      <c r="R90" s="1" t="s">
        <v>4081</v>
      </c>
      <c r="S90" s="1" t="s">
        <v>4971</v>
      </c>
      <c r="T90" s="6">
        <v>44593</v>
      </c>
      <c r="U90" s="6">
        <v>44593</v>
      </c>
      <c r="V90" s="7">
        <v>0.61297453703703708</v>
      </c>
      <c r="W90" s="6">
        <v>44609</v>
      </c>
      <c r="X90" s="7">
        <v>0.5</v>
      </c>
      <c r="Y90" s="8">
        <v>44610.623078703706</v>
      </c>
      <c r="Z90" s="5">
        <v>340</v>
      </c>
      <c r="AA90" s="1" t="s">
        <v>3403</v>
      </c>
      <c r="AB90" s="1"/>
      <c r="AC90" s="1"/>
      <c r="AD90" s="1"/>
      <c r="AE90" s="1" t="s">
        <v>3745</v>
      </c>
      <c r="AF90" s="1" t="s">
        <v>9</v>
      </c>
      <c r="AG90" s="4">
        <v>253</v>
      </c>
      <c r="AH90" s="1"/>
      <c r="AI90" s="6">
        <v>44926</v>
      </c>
    </row>
    <row r="91" spans="1:35" x14ac:dyDescent="0.3">
      <c r="A91" s="1" t="s">
        <v>1369</v>
      </c>
      <c r="B91" s="2" t="str">
        <f>HYPERLINK("https://my.zakupki.prom.ua/remote/dispatcher/state_purchase_view/34697113")</f>
        <v>https://my.zakupki.prom.ua/remote/dispatcher/state_purchase_view/34697113</v>
      </c>
      <c r="C91" s="1" t="s">
        <v>2319</v>
      </c>
      <c r="D91" s="1" t="s">
        <v>1231</v>
      </c>
      <c r="E91" s="4">
        <v>1</v>
      </c>
      <c r="F91" s="5">
        <v>59400</v>
      </c>
      <c r="G91" s="1" t="s">
        <v>4940</v>
      </c>
      <c r="H91" s="1" t="s">
        <v>1016</v>
      </c>
      <c r="I91" s="1" t="s">
        <v>4868</v>
      </c>
      <c r="J91" s="5">
        <v>59400</v>
      </c>
      <c r="K91" s="1" t="s">
        <v>3394</v>
      </c>
      <c r="L91" s="5">
        <v>594</v>
      </c>
      <c r="M91" s="1" t="s">
        <v>2308</v>
      </c>
      <c r="N91" s="1" t="s">
        <v>3983</v>
      </c>
      <c r="O91" s="1" t="s">
        <v>2521</v>
      </c>
      <c r="P91" s="1" t="s">
        <v>3956</v>
      </c>
      <c r="Q91" s="1" t="s">
        <v>4834</v>
      </c>
      <c r="R91" s="1" t="s">
        <v>4081</v>
      </c>
      <c r="S91" s="1" t="s">
        <v>4937</v>
      </c>
      <c r="T91" s="6">
        <v>44593</v>
      </c>
      <c r="U91" s="6">
        <v>44597</v>
      </c>
      <c r="V91" s="7">
        <v>0.54166666666666663</v>
      </c>
      <c r="W91" s="6">
        <v>44603</v>
      </c>
      <c r="X91" s="7">
        <v>0.54166666666666663</v>
      </c>
      <c r="Y91" s="1" t="s">
        <v>4860</v>
      </c>
      <c r="Z91" s="5">
        <v>340</v>
      </c>
      <c r="AA91" s="1" t="s">
        <v>3403</v>
      </c>
      <c r="AB91" s="1"/>
      <c r="AC91" s="1"/>
      <c r="AD91" s="1"/>
      <c r="AE91" s="1" t="s">
        <v>3727</v>
      </c>
      <c r="AF91" s="1" t="s">
        <v>9</v>
      </c>
      <c r="AG91" s="4">
        <v>6</v>
      </c>
      <c r="AH91" s="1"/>
      <c r="AI91" s="6">
        <v>44926</v>
      </c>
    </row>
    <row r="92" spans="1:35" x14ac:dyDescent="0.3">
      <c r="A92" s="1" t="s">
        <v>1880</v>
      </c>
      <c r="B92" s="2" t="str">
        <f>HYPERLINK("https://my.zakupki.prom.ua/remote/dispatcher/state_purchase_view/34697109")</f>
        <v>https://my.zakupki.prom.ua/remote/dispatcher/state_purchase_view/34697109</v>
      </c>
      <c r="C92" s="1" t="s">
        <v>2705</v>
      </c>
      <c r="D92" s="1" t="s">
        <v>622</v>
      </c>
      <c r="E92" s="1" t="s">
        <v>4903</v>
      </c>
      <c r="F92" s="1" t="s">
        <v>4903</v>
      </c>
      <c r="G92" s="1" t="s">
        <v>4903</v>
      </c>
      <c r="H92" s="1" t="s">
        <v>1004</v>
      </c>
      <c r="I92" s="1" t="s">
        <v>2434</v>
      </c>
      <c r="J92" s="5">
        <v>95260</v>
      </c>
      <c r="K92" s="1" t="s">
        <v>3394</v>
      </c>
      <c r="L92" s="5">
        <v>480</v>
      </c>
      <c r="M92" s="1" t="s">
        <v>2308</v>
      </c>
      <c r="N92" s="1" t="s">
        <v>3983</v>
      </c>
      <c r="O92" s="1" t="s">
        <v>2521</v>
      </c>
      <c r="P92" s="1" t="s">
        <v>3956</v>
      </c>
      <c r="Q92" s="1" t="s">
        <v>2528</v>
      </c>
      <c r="R92" s="1" t="s">
        <v>4629</v>
      </c>
      <c r="S92" s="1" t="s">
        <v>4937</v>
      </c>
      <c r="T92" s="6">
        <v>44593</v>
      </c>
      <c r="U92" s="6">
        <v>44597</v>
      </c>
      <c r="V92" s="7">
        <v>0</v>
      </c>
      <c r="W92" s="6">
        <v>44601</v>
      </c>
      <c r="X92" s="7">
        <v>0</v>
      </c>
      <c r="Y92" s="1" t="s">
        <v>4860</v>
      </c>
      <c r="Z92" s="5">
        <v>340</v>
      </c>
      <c r="AA92" s="1" t="s">
        <v>3403</v>
      </c>
      <c r="AB92" s="1"/>
      <c r="AC92" s="1"/>
      <c r="AD92" s="1"/>
      <c r="AE92" s="1" t="s">
        <v>3789</v>
      </c>
      <c r="AF92" s="1" t="s">
        <v>9</v>
      </c>
      <c r="AG92" s="4">
        <v>2</v>
      </c>
      <c r="AH92" s="1"/>
      <c r="AI92" s="6">
        <v>44651</v>
      </c>
    </row>
    <row r="93" spans="1:35" x14ac:dyDescent="0.3">
      <c r="A93" s="1" t="s">
        <v>2288</v>
      </c>
      <c r="B93" s="2" t="str">
        <f>HYPERLINK("https://my.zakupki.prom.ua/remote/dispatcher/state_purchase_view/34696689")</f>
        <v>https://my.zakupki.prom.ua/remote/dispatcher/state_purchase_view/34696689</v>
      </c>
      <c r="C93" s="1" t="s">
        <v>2480</v>
      </c>
      <c r="D93" s="1" t="s">
        <v>1134</v>
      </c>
      <c r="E93" s="4">
        <v>1</v>
      </c>
      <c r="F93" s="5">
        <v>600000</v>
      </c>
      <c r="G93" s="1" t="s">
        <v>4976</v>
      </c>
      <c r="H93" s="1" t="s">
        <v>902</v>
      </c>
      <c r="I93" s="1" t="s">
        <v>4729</v>
      </c>
      <c r="J93" s="5">
        <v>600000</v>
      </c>
      <c r="K93" s="1" t="s">
        <v>3394</v>
      </c>
      <c r="L93" s="5">
        <v>3000</v>
      </c>
      <c r="M93" s="1" t="s">
        <v>2308</v>
      </c>
      <c r="N93" s="1" t="s">
        <v>3983</v>
      </c>
      <c r="O93" s="1" t="s">
        <v>2521</v>
      </c>
      <c r="P93" s="1" t="s">
        <v>3956</v>
      </c>
      <c r="Q93" s="1" t="s">
        <v>2756</v>
      </c>
      <c r="R93" s="1" t="s">
        <v>4359</v>
      </c>
      <c r="S93" s="1" t="s">
        <v>4937</v>
      </c>
      <c r="T93" s="6">
        <v>44593</v>
      </c>
      <c r="U93" s="6">
        <v>44599</v>
      </c>
      <c r="V93" s="7">
        <v>0.5</v>
      </c>
      <c r="W93" s="6">
        <v>44602</v>
      </c>
      <c r="X93" s="7">
        <v>0.875</v>
      </c>
      <c r="Y93" s="1" t="s">
        <v>4860</v>
      </c>
      <c r="Z93" s="5">
        <v>510</v>
      </c>
      <c r="AA93" s="1" t="s">
        <v>3403</v>
      </c>
      <c r="AB93" s="1"/>
      <c r="AC93" s="1"/>
      <c r="AD93" s="1"/>
      <c r="AE93" s="1" t="s">
        <v>3693</v>
      </c>
      <c r="AF93" s="1" t="s">
        <v>9</v>
      </c>
      <c r="AG93" s="4">
        <v>3</v>
      </c>
      <c r="AH93" s="1"/>
      <c r="AI93" s="6">
        <v>44742</v>
      </c>
    </row>
    <row r="94" spans="1:35" x14ac:dyDescent="0.3">
      <c r="A94" s="1" t="s">
        <v>2286</v>
      </c>
      <c r="B94" s="2" t="str">
        <f>HYPERLINK("https://my.zakupki.prom.ua/remote/dispatcher/state_purchase_view/34696668")</f>
        <v>https://my.zakupki.prom.ua/remote/dispatcher/state_purchase_view/34696668</v>
      </c>
      <c r="C94" s="1" t="s">
        <v>2651</v>
      </c>
      <c r="D94" s="1" t="s">
        <v>764</v>
      </c>
      <c r="E94" s="1" t="s">
        <v>4903</v>
      </c>
      <c r="F94" s="1" t="s">
        <v>4903</v>
      </c>
      <c r="G94" s="1" t="s">
        <v>4903</v>
      </c>
      <c r="H94" s="1" t="s">
        <v>95</v>
      </c>
      <c r="I94" s="1" t="s">
        <v>2895</v>
      </c>
      <c r="J94" s="5">
        <v>1588252</v>
      </c>
      <c r="K94" s="1" t="s">
        <v>3394</v>
      </c>
      <c r="L94" s="5">
        <v>7942</v>
      </c>
      <c r="M94" s="1" t="s">
        <v>2308</v>
      </c>
      <c r="N94" s="1" t="s">
        <v>3983</v>
      </c>
      <c r="O94" s="1" t="s">
        <v>2521</v>
      </c>
      <c r="P94" s="1" t="s">
        <v>2515</v>
      </c>
      <c r="Q94" s="1" t="s">
        <v>3426</v>
      </c>
      <c r="R94" s="1" t="s">
        <v>4237</v>
      </c>
      <c r="S94" s="1" t="s">
        <v>4971</v>
      </c>
      <c r="T94" s="6">
        <v>44593</v>
      </c>
      <c r="U94" s="6">
        <v>44593</v>
      </c>
      <c r="V94" s="7">
        <v>0.6106740506828704</v>
      </c>
      <c r="W94" s="6">
        <v>44609</v>
      </c>
      <c r="X94" s="7">
        <v>0.58680555555555558</v>
      </c>
      <c r="Y94" s="1" t="s">
        <v>4860</v>
      </c>
      <c r="Z94" s="5">
        <v>1700</v>
      </c>
      <c r="AA94" s="1" t="s">
        <v>3403</v>
      </c>
      <c r="AB94" s="1"/>
      <c r="AC94" s="1"/>
      <c r="AD94" s="1"/>
      <c r="AE94" s="1" t="s">
        <v>3787</v>
      </c>
      <c r="AF94" s="1" t="s">
        <v>9</v>
      </c>
      <c r="AG94" s="4">
        <v>9</v>
      </c>
      <c r="AH94" s="1"/>
      <c r="AI94" s="6">
        <v>44926</v>
      </c>
    </row>
    <row r="95" spans="1:35" x14ac:dyDescent="0.3">
      <c r="A95" s="1" t="s">
        <v>2285</v>
      </c>
      <c r="B95" s="2" t="str">
        <f>HYPERLINK("https://my.zakupki.prom.ua/remote/dispatcher/state_purchase_view/34695701")</f>
        <v>https://my.zakupki.prom.ua/remote/dispatcher/state_purchase_view/34695701</v>
      </c>
      <c r="C95" s="1" t="s">
        <v>1226</v>
      </c>
      <c r="D95" s="1" t="s">
        <v>1225</v>
      </c>
      <c r="E95" s="4">
        <v>1</v>
      </c>
      <c r="F95" s="5">
        <v>1100000</v>
      </c>
      <c r="G95" s="1" t="s">
        <v>4940</v>
      </c>
      <c r="H95" s="1" t="s">
        <v>35</v>
      </c>
      <c r="I95" s="1" t="s">
        <v>2733</v>
      </c>
      <c r="J95" s="5">
        <v>1100000</v>
      </c>
      <c r="K95" s="1" t="s">
        <v>3394</v>
      </c>
      <c r="L95" s="5">
        <v>5500</v>
      </c>
      <c r="M95" s="1" t="s">
        <v>2308</v>
      </c>
      <c r="N95" s="1" t="s">
        <v>3983</v>
      </c>
      <c r="O95" s="1" t="s">
        <v>2521</v>
      </c>
      <c r="P95" s="1" t="s">
        <v>2515</v>
      </c>
      <c r="Q95" s="1" t="s">
        <v>3035</v>
      </c>
      <c r="R95" s="1" t="s">
        <v>4081</v>
      </c>
      <c r="S95" s="1" t="s">
        <v>4971</v>
      </c>
      <c r="T95" s="6">
        <v>44593</v>
      </c>
      <c r="U95" s="6">
        <v>44593</v>
      </c>
      <c r="V95" s="7">
        <v>0.61051647712962964</v>
      </c>
      <c r="W95" s="6">
        <v>44612</v>
      </c>
      <c r="X95" s="7">
        <v>0.72916666666666663</v>
      </c>
      <c r="Y95" s="8">
        <v>44613.54074074074</v>
      </c>
      <c r="Z95" s="5">
        <v>1700</v>
      </c>
      <c r="AA95" s="1" t="s">
        <v>3403</v>
      </c>
      <c r="AB95" s="1"/>
      <c r="AC95" s="1"/>
      <c r="AD95" s="1"/>
      <c r="AE95" s="1" t="s">
        <v>3740</v>
      </c>
      <c r="AF95" s="1" t="s">
        <v>9</v>
      </c>
      <c r="AG95" s="4">
        <v>38</v>
      </c>
      <c r="AH95" s="1"/>
      <c r="AI95" s="6">
        <v>44926</v>
      </c>
    </row>
    <row r="96" spans="1:35" x14ac:dyDescent="0.3">
      <c r="A96" s="1" t="s">
        <v>2282</v>
      </c>
      <c r="B96" s="2" t="str">
        <f>HYPERLINK("https://my.zakupki.prom.ua/remote/dispatcher/state_purchase_view/34696616")</f>
        <v>https://my.zakupki.prom.ua/remote/dispatcher/state_purchase_view/34696616</v>
      </c>
      <c r="C96" s="1" t="s">
        <v>4846</v>
      </c>
      <c r="D96" s="1" t="s">
        <v>174</v>
      </c>
      <c r="E96" s="4">
        <v>25000</v>
      </c>
      <c r="F96" s="5">
        <v>4</v>
      </c>
      <c r="G96" s="1" t="s">
        <v>4991</v>
      </c>
      <c r="H96" s="1" t="s">
        <v>1007</v>
      </c>
      <c r="I96" s="1" t="s">
        <v>2509</v>
      </c>
      <c r="J96" s="5">
        <v>100000</v>
      </c>
      <c r="K96" s="1" t="s">
        <v>3394</v>
      </c>
      <c r="L96" s="5">
        <v>500</v>
      </c>
      <c r="M96" s="1" t="s">
        <v>2308</v>
      </c>
      <c r="N96" s="1" t="s">
        <v>3983</v>
      </c>
      <c r="O96" s="1" t="s">
        <v>2521</v>
      </c>
      <c r="P96" s="1" t="s">
        <v>3956</v>
      </c>
      <c r="Q96" s="1" t="s">
        <v>4831</v>
      </c>
      <c r="R96" s="1" t="s">
        <v>4617</v>
      </c>
      <c r="S96" s="1" t="s">
        <v>4937</v>
      </c>
      <c r="T96" s="6">
        <v>44593</v>
      </c>
      <c r="U96" s="6">
        <v>44599</v>
      </c>
      <c r="V96" s="7">
        <v>0.5</v>
      </c>
      <c r="W96" s="6">
        <v>44602</v>
      </c>
      <c r="X96" s="7">
        <v>0</v>
      </c>
      <c r="Y96" s="1" t="s">
        <v>4860</v>
      </c>
      <c r="Z96" s="5">
        <v>340</v>
      </c>
      <c r="AA96" s="1" t="s">
        <v>3403</v>
      </c>
      <c r="AB96" s="1"/>
      <c r="AC96" s="1"/>
      <c r="AD96" s="1"/>
      <c r="AE96" s="1" t="s">
        <v>3774</v>
      </c>
      <c r="AF96" s="1" t="s">
        <v>9</v>
      </c>
      <c r="AG96" s="4">
        <v>7</v>
      </c>
      <c r="AH96" s="1"/>
      <c r="AI96" s="6">
        <v>44926</v>
      </c>
    </row>
    <row r="97" spans="1:35" x14ac:dyDescent="0.3">
      <c r="A97" s="1" t="s">
        <v>2281</v>
      </c>
      <c r="B97" s="2" t="str">
        <f>HYPERLINK("https://my.zakupki.prom.ua/remote/dispatcher/state_purchase_view/34696613")</f>
        <v>https://my.zakupki.prom.ua/remote/dispatcher/state_purchase_view/34696613</v>
      </c>
      <c r="C97" s="1" t="s">
        <v>213</v>
      </c>
      <c r="D97" s="1" t="s">
        <v>213</v>
      </c>
      <c r="E97" s="1" t="s">
        <v>4903</v>
      </c>
      <c r="F97" s="1" t="s">
        <v>4903</v>
      </c>
      <c r="G97" s="1" t="s">
        <v>4903</v>
      </c>
      <c r="H97" s="1" t="s">
        <v>887</v>
      </c>
      <c r="I97" s="1" t="s">
        <v>2966</v>
      </c>
      <c r="J97" s="5">
        <v>123108</v>
      </c>
      <c r="K97" s="1" t="s">
        <v>3394</v>
      </c>
      <c r="L97" s="5">
        <v>615.54</v>
      </c>
      <c r="M97" s="1" t="s">
        <v>2308</v>
      </c>
      <c r="N97" s="1" t="s">
        <v>3403</v>
      </c>
      <c r="O97" s="1" t="s">
        <v>2521</v>
      </c>
      <c r="P97" s="1" t="s">
        <v>2762</v>
      </c>
      <c r="Q97" s="1" t="s">
        <v>2820</v>
      </c>
      <c r="R97" s="1" t="s">
        <v>4691</v>
      </c>
      <c r="S97" s="1" t="s">
        <v>4937</v>
      </c>
      <c r="T97" s="6">
        <v>44593</v>
      </c>
      <c r="U97" s="6">
        <v>44599</v>
      </c>
      <c r="V97" s="7">
        <v>0.60277777777777775</v>
      </c>
      <c r="W97" s="6">
        <v>44602</v>
      </c>
      <c r="X97" s="7">
        <v>0.60277777777777775</v>
      </c>
      <c r="Y97" s="1" t="s">
        <v>4860</v>
      </c>
      <c r="Z97" s="5">
        <v>340</v>
      </c>
      <c r="AA97" s="1" t="s">
        <v>3403</v>
      </c>
      <c r="AB97" s="1"/>
      <c r="AC97" s="1"/>
      <c r="AD97" s="1"/>
      <c r="AE97" s="1" t="s">
        <v>3765</v>
      </c>
      <c r="AF97" s="1" t="s">
        <v>9</v>
      </c>
      <c r="AG97" s="1" t="s">
        <v>9</v>
      </c>
      <c r="AH97" s="6">
        <v>44593</v>
      </c>
      <c r="AI97" s="6">
        <v>44926</v>
      </c>
    </row>
    <row r="98" spans="1:35" x14ac:dyDescent="0.3">
      <c r="A98" s="1" t="s">
        <v>2280</v>
      </c>
      <c r="B98" s="2" t="str">
        <f>HYPERLINK("https://my.zakupki.prom.ua/remote/dispatcher/state_purchase_view/34696610")</f>
        <v>https://my.zakupki.prom.ua/remote/dispatcher/state_purchase_view/34696610</v>
      </c>
      <c r="C98" s="1" t="s">
        <v>3572</v>
      </c>
      <c r="D98" s="1" t="s">
        <v>1173</v>
      </c>
      <c r="E98" s="4">
        <v>11</v>
      </c>
      <c r="F98" s="5">
        <v>3181.82</v>
      </c>
      <c r="G98" s="1" t="s">
        <v>4940</v>
      </c>
      <c r="H98" s="1" t="s">
        <v>87</v>
      </c>
      <c r="I98" s="1" t="s">
        <v>2863</v>
      </c>
      <c r="J98" s="5">
        <v>35000</v>
      </c>
      <c r="K98" s="1" t="s">
        <v>3394</v>
      </c>
      <c r="L98" s="5">
        <v>350</v>
      </c>
      <c r="M98" s="1" t="s">
        <v>2308</v>
      </c>
      <c r="N98" s="1" t="s">
        <v>3983</v>
      </c>
      <c r="O98" s="1" t="s">
        <v>2521</v>
      </c>
      <c r="P98" s="1" t="s">
        <v>3956</v>
      </c>
      <c r="Q98" s="1" t="s">
        <v>3035</v>
      </c>
      <c r="R98" s="1" t="s">
        <v>4299</v>
      </c>
      <c r="S98" s="1" t="s">
        <v>4937</v>
      </c>
      <c r="T98" s="6">
        <v>44593</v>
      </c>
      <c r="U98" s="6">
        <v>44599</v>
      </c>
      <c r="V98" s="7">
        <v>0</v>
      </c>
      <c r="W98" s="6">
        <v>44603</v>
      </c>
      <c r="X98" s="7">
        <v>0</v>
      </c>
      <c r="Y98" s="1" t="s">
        <v>4860</v>
      </c>
      <c r="Z98" s="5">
        <v>119</v>
      </c>
      <c r="AA98" s="1" t="s">
        <v>3403</v>
      </c>
      <c r="AB98" s="1"/>
      <c r="AC98" s="1"/>
      <c r="AD98" s="1"/>
      <c r="AE98" s="1" t="s">
        <v>3750</v>
      </c>
      <c r="AF98" s="1" t="s">
        <v>9</v>
      </c>
      <c r="AG98" s="1" t="s">
        <v>9</v>
      </c>
      <c r="AH98" s="1"/>
      <c r="AI98" s="6">
        <v>44926</v>
      </c>
    </row>
    <row r="99" spans="1:35" x14ac:dyDescent="0.3">
      <c r="A99" s="1" t="s">
        <v>2279</v>
      </c>
      <c r="B99" s="2" t="str">
        <f>HYPERLINK("https://my.zakupki.prom.ua/remote/dispatcher/state_purchase_view/34696607")</f>
        <v>https://my.zakupki.prom.ua/remote/dispatcher/state_purchase_view/34696607</v>
      </c>
      <c r="C99" s="1" t="s">
        <v>3354</v>
      </c>
      <c r="D99" s="1" t="s">
        <v>441</v>
      </c>
      <c r="E99" s="1" t="s">
        <v>4903</v>
      </c>
      <c r="F99" s="1" t="s">
        <v>4903</v>
      </c>
      <c r="G99" s="1" t="s">
        <v>4903</v>
      </c>
      <c r="H99" s="1" t="s">
        <v>200</v>
      </c>
      <c r="I99" s="1" t="s">
        <v>2332</v>
      </c>
      <c r="J99" s="5">
        <v>247500</v>
      </c>
      <c r="K99" s="1" t="s">
        <v>3394</v>
      </c>
      <c r="L99" s="5">
        <v>2475</v>
      </c>
      <c r="M99" s="1" t="s">
        <v>2308</v>
      </c>
      <c r="N99" s="1" t="s">
        <v>3983</v>
      </c>
      <c r="O99" s="1" t="s">
        <v>2521</v>
      </c>
      <c r="P99" s="1" t="s">
        <v>2515</v>
      </c>
      <c r="Q99" s="1" t="s">
        <v>3238</v>
      </c>
      <c r="R99" s="1" t="s">
        <v>4198</v>
      </c>
      <c r="S99" s="1" t="s">
        <v>4971</v>
      </c>
      <c r="T99" s="6">
        <v>44593</v>
      </c>
      <c r="U99" s="6">
        <v>44593</v>
      </c>
      <c r="V99" s="7">
        <v>0.6094832320949074</v>
      </c>
      <c r="W99" s="6">
        <v>44610</v>
      </c>
      <c r="X99" s="7">
        <v>0.45833333333333331</v>
      </c>
      <c r="Y99" s="8">
        <v>44613.635648148149</v>
      </c>
      <c r="Z99" s="5">
        <v>510</v>
      </c>
      <c r="AA99" s="1" t="s">
        <v>3403</v>
      </c>
      <c r="AB99" s="1"/>
      <c r="AC99" s="1"/>
      <c r="AD99" s="1"/>
      <c r="AE99" s="1" t="s">
        <v>3801</v>
      </c>
      <c r="AF99" s="1" t="s">
        <v>9</v>
      </c>
      <c r="AG99" s="4">
        <v>7</v>
      </c>
      <c r="AH99" s="1"/>
      <c r="AI99" s="6">
        <v>44926</v>
      </c>
    </row>
    <row r="100" spans="1:35" x14ac:dyDescent="0.3">
      <c r="A100" s="1" t="s">
        <v>1859</v>
      </c>
      <c r="B100" s="2" t="str">
        <f>HYPERLINK("https://my.zakupki.prom.ua/remote/dispatcher/state_purchase_view/34696557")</f>
        <v>https://my.zakupki.prom.ua/remote/dispatcher/state_purchase_view/34696557</v>
      </c>
      <c r="C100" s="1" t="s">
        <v>4762</v>
      </c>
      <c r="D100" s="1" t="s">
        <v>789</v>
      </c>
      <c r="E100" s="4">
        <v>200</v>
      </c>
      <c r="F100" s="5">
        <v>42</v>
      </c>
      <c r="G100" s="1" t="s">
        <v>4935</v>
      </c>
      <c r="H100" s="1" t="s">
        <v>921</v>
      </c>
      <c r="I100" s="1" t="s">
        <v>3089</v>
      </c>
      <c r="J100" s="5">
        <v>8400</v>
      </c>
      <c r="K100" s="1" t="s">
        <v>3394</v>
      </c>
      <c r="L100" s="5">
        <v>42</v>
      </c>
      <c r="M100" s="1" t="s">
        <v>2308</v>
      </c>
      <c r="N100" s="1" t="s">
        <v>3983</v>
      </c>
      <c r="O100" s="1" t="s">
        <v>2521</v>
      </c>
      <c r="P100" s="1" t="s">
        <v>3956</v>
      </c>
      <c r="Q100" s="1" t="s">
        <v>3238</v>
      </c>
      <c r="R100" s="1" t="s">
        <v>4451</v>
      </c>
      <c r="S100" s="1" t="s">
        <v>4937</v>
      </c>
      <c r="T100" s="6">
        <v>44593</v>
      </c>
      <c r="U100" s="6">
        <v>44597</v>
      </c>
      <c r="V100" s="7">
        <v>0.58333333333333337</v>
      </c>
      <c r="W100" s="6">
        <v>44603</v>
      </c>
      <c r="X100" s="7">
        <v>0.58333333333333337</v>
      </c>
      <c r="Y100" s="1" t="s">
        <v>4860</v>
      </c>
      <c r="Z100" s="5">
        <v>17</v>
      </c>
      <c r="AA100" s="1" t="s">
        <v>3403</v>
      </c>
      <c r="AB100" s="1"/>
      <c r="AC100" s="1"/>
      <c r="AD100" s="1"/>
      <c r="AE100" s="1" t="s">
        <v>3768</v>
      </c>
      <c r="AF100" s="1" t="s">
        <v>9</v>
      </c>
      <c r="AG100" s="1" t="s">
        <v>9</v>
      </c>
      <c r="AH100" s="1"/>
      <c r="AI100" s="6">
        <v>44926</v>
      </c>
    </row>
    <row r="101" spans="1:35" x14ac:dyDescent="0.3">
      <c r="A101" s="1" t="s">
        <v>1608</v>
      </c>
      <c r="B101" s="2" t="str">
        <f>HYPERLINK("https://my.zakupki.prom.ua/remote/dispatcher/state_purchase_view/34696547")</f>
        <v>https://my.zakupki.prom.ua/remote/dispatcher/state_purchase_view/34696547</v>
      </c>
      <c r="C101" s="1" t="s">
        <v>3516</v>
      </c>
      <c r="D101" s="1" t="s">
        <v>1282</v>
      </c>
      <c r="E101" s="4">
        <v>12</v>
      </c>
      <c r="F101" s="5">
        <v>1404</v>
      </c>
      <c r="G101" s="1" t="s">
        <v>4940</v>
      </c>
      <c r="H101" s="1" t="s">
        <v>160</v>
      </c>
      <c r="I101" s="1" t="s">
        <v>3686</v>
      </c>
      <c r="J101" s="5">
        <v>16848</v>
      </c>
      <c r="K101" s="1" t="s">
        <v>3394</v>
      </c>
      <c r="L101" s="5">
        <v>168.48</v>
      </c>
      <c r="M101" s="1" t="s">
        <v>2308</v>
      </c>
      <c r="N101" s="1" t="s">
        <v>3983</v>
      </c>
      <c r="O101" s="1" t="s">
        <v>2521</v>
      </c>
      <c r="P101" s="1" t="s">
        <v>2762</v>
      </c>
      <c r="Q101" s="1" t="s">
        <v>2756</v>
      </c>
      <c r="R101" s="1" t="s">
        <v>4501</v>
      </c>
      <c r="S101" s="1" t="s">
        <v>4937</v>
      </c>
      <c r="T101" s="6">
        <v>44593</v>
      </c>
      <c r="U101" s="6">
        <v>44597</v>
      </c>
      <c r="V101" s="7">
        <v>0</v>
      </c>
      <c r="W101" s="6">
        <v>44601</v>
      </c>
      <c r="X101" s="7">
        <v>0</v>
      </c>
      <c r="Y101" s="1" t="s">
        <v>4860</v>
      </c>
      <c r="Z101" s="5">
        <v>17</v>
      </c>
      <c r="AA101" s="1" t="s">
        <v>3403</v>
      </c>
      <c r="AB101" s="1"/>
      <c r="AC101" s="1"/>
      <c r="AD101" s="1"/>
      <c r="AE101" s="1" t="s">
        <v>3755</v>
      </c>
      <c r="AF101" s="1" t="s">
        <v>9</v>
      </c>
      <c r="AG101" s="4">
        <v>1</v>
      </c>
      <c r="AH101" s="1"/>
      <c r="AI101" s="6">
        <v>44926</v>
      </c>
    </row>
    <row r="102" spans="1:35" x14ac:dyDescent="0.3">
      <c r="A102" s="1" t="s">
        <v>1535</v>
      </c>
      <c r="B102" s="2" t="str">
        <f>HYPERLINK("https://my.zakupki.prom.ua/remote/dispatcher/state_purchase_view/34696540")</f>
        <v>https://my.zakupki.prom.ua/remote/dispatcher/state_purchase_view/34696540</v>
      </c>
      <c r="C102" s="1" t="s">
        <v>4787</v>
      </c>
      <c r="D102" s="1" t="s">
        <v>1045</v>
      </c>
      <c r="E102" s="1" t="s">
        <v>4903</v>
      </c>
      <c r="F102" s="1" t="s">
        <v>4903</v>
      </c>
      <c r="G102" s="1" t="s">
        <v>4903</v>
      </c>
      <c r="H102" s="1" t="s">
        <v>576</v>
      </c>
      <c r="I102" s="1" t="s">
        <v>3245</v>
      </c>
      <c r="J102" s="5">
        <v>118750.8</v>
      </c>
      <c r="K102" s="1" t="s">
        <v>3394</v>
      </c>
      <c r="L102" s="5">
        <v>1187.51</v>
      </c>
      <c r="M102" s="1" t="s">
        <v>2308</v>
      </c>
      <c r="N102" s="1" t="s">
        <v>3983</v>
      </c>
      <c r="O102" s="1" t="s">
        <v>2521</v>
      </c>
      <c r="P102" s="1" t="s">
        <v>2515</v>
      </c>
      <c r="Q102" s="1" t="s">
        <v>3264</v>
      </c>
      <c r="R102" s="1" t="s">
        <v>4081</v>
      </c>
      <c r="S102" s="1" t="s">
        <v>4971</v>
      </c>
      <c r="T102" s="6">
        <v>44593</v>
      </c>
      <c r="U102" s="6">
        <v>44593</v>
      </c>
      <c r="V102" s="7">
        <v>0.60631944444444441</v>
      </c>
      <c r="W102" s="6">
        <v>44611</v>
      </c>
      <c r="X102" s="7">
        <v>0</v>
      </c>
      <c r="Y102" s="8">
        <v>44613.597557870373</v>
      </c>
      <c r="Z102" s="5">
        <v>340</v>
      </c>
      <c r="AA102" s="1" t="s">
        <v>3403</v>
      </c>
      <c r="AB102" s="1"/>
      <c r="AC102" s="1"/>
      <c r="AD102" s="1"/>
      <c r="AE102" s="1" t="s">
        <v>3814</v>
      </c>
      <c r="AF102" s="1" t="s">
        <v>9</v>
      </c>
      <c r="AG102" s="1" t="s">
        <v>9</v>
      </c>
      <c r="AH102" s="1"/>
      <c r="AI102" s="6">
        <v>44926</v>
      </c>
    </row>
    <row r="103" spans="1:35" x14ac:dyDescent="0.3">
      <c r="A103" s="1" t="s">
        <v>1537</v>
      </c>
      <c r="B103" s="2" t="str">
        <f>HYPERLINK("https://my.zakupki.prom.ua/remote/dispatcher/state_purchase_view/34696519")</f>
        <v>https://my.zakupki.prom.ua/remote/dispatcher/state_purchase_view/34696519</v>
      </c>
      <c r="C103" s="1" t="s">
        <v>4765</v>
      </c>
      <c r="D103" s="1" t="s">
        <v>789</v>
      </c>
      <c r="E103" s="1" t="s">
        <v>4903</v>
      </c>
      <c r="F103" s="1" t="s">
        <v>4903</v>
      </c>
      <c r="G103" s="1" t="s">
        <v>4903</v>
      </c>
      <c r="H103" s="1" t="s">
        <v>93</v>
      </c>
      <c r="I103" s="1" t="s">
        <v>3098</v>
      </c>
      <c r="J103" s="5">
        <v>54300</v>
      </c>
      <c r="K103" s="1" t="s">
        <v>3394</v>
      </c>
      <c r="L103" s="5">
        <v>543</v>
      </c>
      <c r="M103" s="1" t="s">
        <v>2308</v>
      </c>
      <c r="N103" s="1" t="s">
        <v>3983</v>
      </c>
      <c r="O103" s="1" t="s">
        <v>2521</v>
      </c>
      <c r="P103" s="1" t="s">
        <v>2762</v>
      </c>
      <c r="Q103" s="1" t="s">
        <v>3325</v>
      </c>
      <c r="R103" s="1" t="s">
        <v>4147</v>
      </c>
      <c r="S103" s="1" t="s">
        <v>4937</v>
      </c>
      <c r="T103" s="6">
        <v>44593</v>
      </c>
      <c r="U103" s="6">
        <v>44599</v>
      </c>
      <c r="V103" s="7">
        <v>0.60842592592592593</v>
      </c>
      <c r="W103" s="6">
        <v>44602</v>
      </c>
      <c r="X103" s="7">
        <v>0.60842592592592593</v>
      </c>
      <c r="Y103" s="1" t="s">
        <v>4860</v>
      </c>
      <c r="Z103" s="5">
        <v>340</v>
      </c>
      <c r="AA103" s="1" t="s">
        <v>3403</v>
      </c>
      <c r="AB103" s="1"/>
      <c r="AC103" s="1"/>
      <c r="AD103" s="1"/>
      <c r="AE103" s="1" t="s">
        <v>3768</v>
      </c>
      <c r="AF103" s="1" t="s">
        <v>9</v>
      </c>
      <c r="AG103" s="4">
        <v>1</v>
      </c>
      <c r="AH103" s="1"/>
      <c r="AI103" s="6">
        <v>44926</v>
      </c>
    </row>
    <row r="104" spans="1:35" x14ac:dyDescent="0.3">
      <c r="A104" s="1" t="s">
        <v>2271</v>
      </c>
      <c r="B104" s="2" t="str">
        <f>HYPERLINK("https://my.zakupki.prom.ua/remote/dispatcher/state_purchase_view/34696516")</f>
        <v>https://my.zakupki.prom.ua/remote/dispatcher/state_purchase_view/34696516</v>
      </c>
      <c r="C104" s="1" t="s">
        <v>3502</v>
      </c>
      <c r="D104" s="1" t="s">
        <v>735</v>
      </c>
      <c r="E104" s="4">
        <v>1</v>
      </c>
      <c r="F104" s="5">
        <v>40000</v>
      </c>
      <c r="G104" s="1" t="s">
        <v>4989</v>
      </c>
      <c r="H104" s="1" t="s">
        <v>389</v>
      </c>
      <c r="I104" s="1" t="s">
        <v>2581</v>
      </c>
      <c r="J104" s="5">
        <v>40000</v>
      </c>
      <c r="K104" s="1" t="s">
        <v>3394</v>
      </c>
      <c r="L104" s="5">
        <v>200</v>
      </c>
      <c r="M104" s="1" t="s">
        <v>2308</v>
      </c>
      <c r="N104" s="1" t="s">
        <v>3403</v>
      </c>
      <c r="O104" s="1" t="s">
        <v>2521</v>
      </c>
      <c r="P104" s="1" t="s">
        <v>2762</v>
      </c>
      <c r="Q104" s="1" t="s">
        <v>3325</v>
      </c>
      <c r="R104" s="1" t="s">
        <v>4081</v>
      </c>
      <c r="S104" s="1" t="s">
        <v>4937</v>
      </c>
      <c r="T104" s="6">
        <v>44593</v>
      </c>
      <c r="U104" s="6">
        <v>44599</v>
      </c>
      <c r="V104" s="7">
        <v>0.375</v>
      </c>
      <c r="W104" s="6">
        <v>44602</v>
      </c>
      <c r="X104" s="7">
        <v>0.375</v>
      </c>
      <c r="Y104" s="1" t="s">
        <v>4860</v>
      </c>
      <c r="Z104" s="5">
        <v>119</v>
      </c>
      <c r="AA104" s="1" t="s">
        <v>3403</v>
      </c>
      <c r="AB104" s="1"/>
      <c r="AC104" s="1"/>
      <c r="AD104" s="1"/>
      <c r="AE104" s="1" t="s">
        <v>3774</v>
      </c>
      <c r="AF104" s="1" t="s">
        <v>9</v>
      </c>
      <c r="AG104" s="1" t="s">
        <v>9</v>
      </c>
      <c r="AH104" s="1"/>
      <c r="AI104" s="6">
        <v>44615</v>
      </c>
    </row>
    <row r="105" spans="1:35" x14ac:dyDescent="0.3">
      <c r="A105" s="1" t="s">
        <v>1534</v>
      </c>
      <c r="B105" s="2" t="str">
        <f>HYPERLINK("https://my.zakupki.prom.ua/remote/dispatcher/state_purchase_view/34696510")</f>
        <v>https://my.zakupki.prom.ua/remote/dispatcher/state_purchase_view/34696510</v>
      </c>
      <c r="C105" s="1" t="s">
        <v>2657</v>
      </c>
      <c r="D105" s="1" t="s">
        <v>1155</v>
      </c>
      <c r="E105" s="4">
        <v>1</v>
      </c>
      <c r="F105" s="5">
        <v>70000</v>
      </c>
      <c r="G105" s="1" t="s">
        <v>4940</v>
      </c>
      <c r="H105" s="1" t="s">
        <v>257</v>
      </c>
      <c r="I105" s="1" t="s">
        <v>2994</v>
      </c>
      <c r="J105" s="5">
        <v>70000</v>
      </c>
      <c r="K105" s="1" t="s">
        <v>3394</v>
      </c>
      <c r="L105" s="5">
        <v>700</v>
      </c>
      <c r="M105" s="1" t="s">
        <v>2308</v>
      </c>
      <c r="N105" s="1" t="s">
        <v>3983</v>
      </c>
      <c r="O105" s="1" t="s">
        <v>2521</v>
      </c>
      <c r="P105" s="1" t="s">
        <v>2515</v>
      </c>
      <c r="Q105" s="1" t="s">
        <v>4834</v>
      </c>
      <c r="R105" s="1" t="s">
        <v>4102</v>
      </c>
      <c r="S105" s="1" t="s">
        <v>4971</v>
      </c>
      <c r="T105" s="6">
        <v>44593</v>
      </c>
      <c r="U105" s="6">
        <v>44593</v>
      </c>
      <c r="V105" s="7">
        <v>0.60415559348379622</v>
      </c>
      <c r="W105" s="6">
        <v>44609</v>
      </c>
      <c r="X105" s="7">
        <v>0.45833333333333331</v>
      </c>
      <c r="Y105" s="8">
        <v>44610.538877314815</v>
      </c>
      <c r="Z105" s="5">
        <v>340</v>
      </c>
      <c r="AA105" s="1" t="s">
        <v>3403</v>
      </c>
      <c r="AB105" s="1"/>
      <c r="AC105" s="1"/>
      <c r="AD105" s="1"/>
      <c r="AE105" s="1" t="s">
        <v>3732</v>
      </c>
      <c r="AF105" s="1" t="s">
        <v>9</v>
      </c>
      <c r="AG105" s="4">
        <v>5</v>
      </c>
      <c r="AH105" s="1"/>
      <c r="AI105" s="6">
        <v>44926</v>
      </c>
    </row>
    <row r="106" spans="1:35" x14ac:dyDescent="0.3">
      <c r="A106" s="1" t="s">
        <v>1870</v>
      </c>
      <c r="B106" s="2" t="str">
        <f>HYPERLINK("https://my.zakupki.prom.ua/remote/dispatcher/state_purchase_view/34696506")</f>
        <v>https://my.zakupki.prom.ua/remote/dispatcher/state_purchase_view/34696506</v>
      </c>
      <c r="C106" s="1" t="s">
        <v>3584</v>
      </c>
      <c r="D106" s="1" t="s">
        <v>1180</v>
      </c>
      <c r="E106" s="4">
        <v>1</v>
      </c>
      <c r="F106" s="5">
        <v>199500</v>
      </c>
      <c r="G106" s="1" t="s">
        <v>4940</v>
      </c>
      <c r="H106" s="1" t="s">
        <v>271</v>
      </c>
      <c r="I106" s="1" t="s">
        <v>4796</v>
      </c>
      <c r="J106" s="5">
        <v>199500</v>
      </c>
      <c r="K106" s="1" t="s">
        <v>3394</v>
      </c>
      <c r="L106" s="5">
        <v>997.5</v>
      </c>
      <c r="M106" s="1" t="s">
        <v>2308</v>
      </c>
      <c r="N106" s="1" t="s">
        <v>3983</v>
      </c>
      <c r="O106" s="1" t="s">
        <v>2521</v>
      </c>
      <c r="P106" s="1" t="s">
        <v>3956</v>
      </c>
      <c r="Q106" s="1" t="s">
        <v>4794</v>
      </c>
      <c r="R106" s="1" t="s">
        <v>4626</v>
      </c>
      <c r="S106" s="1" t="s">
        <v>4937</v>
      </c>
      <c r="T106" s="6">
        <v>44593</v>
      </c>
      <c r="U106" s="6">
        <v>44597</v>
      </c>
      <c r="V106" s="7">
        <v>0</v>
      </c>
      <c r="W106" s="6">
        <v>44602</v>
      </c>
      <c r="X106" s="7">
        <v>0</v>
      </c>
      <c r="Y106" s="1" t="s">
        <v>4860</v>
      </c>
      <c r="Z106" s="5">
        <v>340</v>
      </c>
      <c r="AA106" s="1" t="s">
        <v>3403</v>
      </c>
      <c r="AB106" s="1"/>
      <c r="AC106" s="1"/>
      <c r="AD106" s="1"/>
      <c r="AE106" s="1" t="s">
        <v>3736</v>
      </c>
      <c r="AF106" s="1" t="s">
        <v>9</v>
      </c>
      <c r="AG106" s="4">
        <v>1</v>
      </c>
      <c r="AH106" s="1"/>
      <c r="AI106" s="6">
        <v>44926</v>
      </c>
    </row>
    <row r="107" spans="1:35" x14ac:dyDescent="0.3">
      <c r="A107" s="1" t="s">
        <v>1519</v>
      </c>
      <c r="B107" s="2" t="str">
        <f>HYPERLINK("https://my.zakupki.prom.ua/remote/dispatcher/state_purchase_view/34696502")</f>
        <v>https://my.zakupki.prom.ua/remote/dispatcher/state_purchase_view/34696502</v>
      </c>
      <c r="C107" s="1" t="s">
        <v>3376</v>
      </c>
      <c r="D107" s="1" t="s">
        <v>1177</v>
      </c>
      <c r="E107" s="4">
        <v>11</v>
      </c>
      <c r="F107" s="5">
        <v>1727.27</v>
      </c>
      <c r="G107" s="1" t="s">
        <v>4940</v>
      </c>
      <c r="H107" s="1" t="s">
        <v>160</v>
      </c>
      <c r="I107" s="1" t="s">
        <v>3686</v>
      </c>
      <c r="J107" s="5">
        <v>19000</v>
      </c>
      <c r="K107" s="1" t="s">
        <v>3394</v>
      </c>
      <c r="L107" s="5">
        <v>190</v>
      </c>
      <c r="M107" s="1" t="s">
        <v>2308</v>
      </c>
      <c r="N107" s="1" t="s">
        <v>3983</v>
      </c>
      <c r="O107" s="1" t="s">
        <v>2521</v>
      </c>
      <c r="P107" s="1" t="s">
        <v>2762</v>
      </c>
      <c r="Q107" s="1" t="s">
        <v>2756</v>
      </c>
      <c r="R107" s="1" t="s">
        <v>4501</v>
      </c>
      <c r="S107" s="1" t="s">
        <v>4937</v>
      </c>
      <c r="T107" s="6">
        <v>44593</v>
      </c>
      <c r="U107" s="6">
        <v>44597</v>
      </c>
      <c r="V107" s="7">
        <v>0</v>
      </c>
      <c r="W107" s="6">
        <v>44601</v>
      </c>
      <c r="X107" s="7">
        <v>0</v>
      </c>
      <c r="Y107" s="1" t="s">
        <v>4860</v>
      </c>
      <c r="Z107" s="5">
        <v>17</v>
      </c>
      <c r="AA107" s="1" t="s">
        <v>3403</v>
      </c>
      <c r="AB107" s="1"/>
      <c r="AC107" s="1"/>
      <c r="AD107" s="1"/>
      <c r="AE107" s="1" t="s">
        <v>3729</v>
      </c>
      <c r="AF107" s="1" t="s">
        <v>9</v>
      </c>
      <c r="AG107" s="4">
        <v>1</v>
      </c>
      <c r="AH107" s="1"/>
      <c r="AI107" s="6">
        <v>44926</v>
      </c>
    </row>
    <row r="108" spans="1:35" x14ac:dyDescent="0.3">
      <c r="A108" s="1" t="s">
        <v>1488</v>
      </c>
      <c r="B108" s="2" t="str">
        <f>HYPERLINK("https://my.zakupki.prom.ua/remote/dispatcher/state_purchase_view/34696495")</f>
        <v>https://my.zakupki.prom.ua/remote/dispatcher/state_purchase_view/34696495</v>
      </c>
      <c r="C108" s="1" t="s">
        <v>4899</v>
      </c>
      <c r="D108" s="1" t="s">
        <v>456</v>
      </c>
      <c r="E108" s="1" t="s">
        <v>4903</v>
      </c>
      <c r="F108" s="1" t="s">
        <v>4903</v>
      </c>
      <c r="G108" s="1" t="s">
        <v>4903</v>
      </c>
      <c r="H108" s="1" t="s">
        <v>684</v>
      </c>
      <c r="I108" s="1" t="s">
        <v>3075</v>
      </c>
      <c r="J108" s="5">
        <v>47883.5</v>
      </c>
      <c r="K108" s="1" t="s">
        <v>3394</v>
      </c>
      <c r="L108" s="5">
        <v>239.42</v>
      </c>
      <c r="M108" s="1" t="s">
        <v>2308</v>
      </c>
      <c r="N108" s="1" t="s">
        <v>3983</v>
      </c>
      <c r="O108" s="1" t="s">
        <v>2521</v>
      </c>
      <c r="P108" s="1" t="s">
        <v>2762</v>
      </c>
      <c r="Q108" s="1" t="s">
        <v>2820</v>
      </c>
      <c r="R108" s="1" t="s">
        <v>4347</v>
      </c>
      <c r="S108" s="1" t="s">
        <v>4937</v>
      </c>
      <c r="T108" s="6">
        <v>44593</v>
      </c>
      <c r="U108" s="6">
        <v>44599</v>
      </c>
      <c r="V108" s="7">
        <v>0.58333333333333337</v>
      </c>
      <c r="W108" s="6">
        <v>44602</v>
      </c>
      <c r="X108" s="7">
        <v>0.54166666666666663</v>
      </c>
      <c r="Y108" s="1" t="s">
        <v>4860</v>
      </c>
      <c r="Z108" s="5">
        <v>119</v>
      </c>
      <c r="AA108" s="1" t="s">
        <v>3403</v>
      </c>
      <c r="AB108" s="1"/>
      <c r="AC108" s="1"/>
      <c r="AD108" s="1"/>
      <c r="AE108" s="1" t="s">
        <v>3788</v>
      </c>
      <c r="AF108" s="1" t="s">
        <v>9</v>
      </c>
      <c r="AG108" s="1" t="s">
        <v>9</v>
      </c>
      <c r="AH108" s="1"/>
      <c r="AI108" s="6">
        <v>44926</v>
      </c>
    </row>
    <row r="109" spans="1:35" x14ac:dyDescent="0.3">
      <c r="A109" s="1" t="s">
        <v>1538</v>
      </c>
      <c r="B109" s="2" t="str">
        <f>HYPERLINK("https://my.zakupki.prom.ua/remote/dispatcher/state_purchase_view/34696483")</f>
        <v>https://my.zakupki.prom.ua/remote/dispatcher/state_purchase_view/34696483</v>
      </c>
      <c r="C109" s="1" t="s">
        <v>2593</v>
      </c>
      <c r="D109" s="1" t="s">
        <v>1284</v>
      </c>
      <c r="E109" s="4">
        <v>1</v>
      </c>
      <c r="F109" s="5">
        <v>92000</v>
      </c>
      <c r="G109" s="1" t="s">
        <v>4940</v>
      </c>
      <c r="H109" s="1" t="s">
        <v>989</v>
      </c>
      <c r="I109" s="1" t="s">
        <v>2971</v>
      </c>
      <c r="J109" s="5">
        <v>92000</v>
      </c>
      <c r="K109" s="1" t="s">
        <v>3394</v>
      </c>
      <c r="L109" s="5">
        <v>460</v>
      </c>
      <c r="M109" s="1" t="s">
        <v>2308</v>
      </c>
      <c r="N109" s="1" t="s">
        <v>3983</v>
      </c>
      <c r="O109" s="1" t="s">
        <v>2521</v>
      </c>
      <c r="P109" s="1" t="s">
        <v>2762</v>
      </c>
      <c r="Q109" s="1" t="s">
        <v>2820</v>
      </c>
      <c r="R109" s="1" t="s">
        <v>4676</v>
      </c>
      <c r="S109" s="1" t="s">
        <v>4937</v>
      </c>
      <c r="T109" s="6">
        <v>44593</v>
      </c>
      <c r="U109" s="6">
        <v>44599</v>
      </c>
      <c r="V109" s="7">
        <v>0.6086921296296296</v>
      </c>
      <c r="W109" s="6">
        <v>44602</v>
      </c>
      <c r="X109" s="7">
        <v>0.6086921296296296</v>
      </c>
      <c r="Y109" s="1" t="s">
        <v>4860</v>
      </c>
      <c r="Z109" s="5">
        <v>340</v>
      </c>
      <c r="AA109" s="1" t="s">
        <v>3403</v>
      </c>
      <c r="AB109" s="1"/>
      <c r="AC109" s="1"/>
      <c r="AD109" s="1"/>
      <c r="AE109" s="1" t="s">
        <v>3774</v>
      </c>
      <c r="AF109" s="1" t="s">
        <v>9</v>
      </c>
      <c r="AG109" s="1" t="s">
        <v>9</v>
      </c>
      <c r="AH109" s="1"/>
      <c r="AI109" s="6">
        <v>44926</v>
      </c>
    </row>
    <row r="110" spans="1:35" x14ac:dyDescent="0.3">
      <c r="A110" s="1" t="s">
        <v>2265</v>
      </c>
      <c r="B110" s="2" t="str">
        <f>HYPERLINK("https://my.zakupki.prom.ua/remote/dispatcher/state_purchase_view/34696471")</f>
        <v>https://my.zakupki.prom.ua/remote/dispatcher/state_purchase_view/34696471</v>
      </c>
      <c r="C110" s="1" t="s">
        <v>2828</v>
      </c>
      <c r="D110" s="1" t="s">
        <v>1222</v>
      </c>
      <c r="E110" s="4">
        <v>1</v>
      </c>
      <c r="F110" s="5">
        <v>2798001</v>
      </c>
      <c r="G110" s="1" t="s">
        <v>4975</v>
      </c>
      <c r="H110" s="1" t="s">
        <v>658</v>
      </c>
      <c r="I110" s="1" t="s">
        <v>3882</v>
      </c>
      <c r="J110" s="5">
        <v>2798001</v>
      </c>
      <c r="K110" s="1" t="s">
        <v>3394</v>
      </c>
      <c r="L110" s="5">
        <v>13990.01</v>
      </c>
      <c r="M110" s="1" t="s">
        <v>2308</v>
      </c>
      <c r="N110" s="1" t="s">
        <v>3983</v>
      </c>
      <c r="O110" s="1" t="s">
        <v>413</v>
      </c>
      <c r="P110" s="1" t="s">
        <v>2515</v>
      </c>
      <c r="Q110" s="1" t="s">
        <v>3992</v>
      </c>
      <c r="R110" s="1" t="s">
        <v>4081</v>
      </c>
      <c r="S110" s="1" t="s">
        <v>4971</v>
      </c>
      <c r="T110" s="6">
        <v>44593</v>
      </c>
      <c r="U110" s="6">
        <v>44593</v>
      </c>
      <c r="V110" s="7">
        <v>0.60725694444444445</v>
      </c>
      <c r="W110" s="6">
        <v>44609</v>
      </c>
      <c r="X110" s="7">
        <v>0.75</v>
      </c>
      <c r="Y110" s="8">
        <v>44610.655439814815</v>
      </c>
      <c r="Z110" s="5">
        <v>1700</v>
      </c>
      <c r="AA110" s="1" t="s">
        <v>3403</v>
      </c>
      <c r="AB110" s="1"/>
      <c r="AC110" s="1"/>
      <c r="AD110" s="1"/>
      <c r="AE110" s="1" t="s">
        <v>3707</v>
      </c>
      <c r="AF110" s="1" t="s">
        <v>9</v>
      </c>
      <c r="AG110" s="4">
        <v>44</v>
      </c>
      <c r="AH110" s="1"/>
      <c r="AI110" s="6">
        <v>44926</v>
      </c>
    </row>
    <row r="111" spans="1:35" x14ac:dyDescent="0.3">
      <c r="A111" s="1" t="s">
        <v>1512</v>
      </c>
      <c r="B111" s="2" t="str">
        <f>HYPERLINK("https://my.zakupki.prom.ua/remote/dispatcher/state_purchase_view/34696469")</f>
        <v>https://my.zakupki.prom.ua/remote/dispatcher/state_purchase_view/34696469</v>
      </c>
      <c r="C111" s="1" t="s">
        <v>3362</v>
      </c>
      <c r="D111" s="1" t="s">
        <v>777</v>
      </c>
      <c r="E111" s="4">
        <v>1</v>
      </c>
      <c r="F111" s="5">
        <v>1200000</v>
      </c>
      <c r="G111" s="1" t="s">
        <v>4929</v>
      </c>
      <c r="H111" s="1" t="s">
        <v>110</v>
      </c>
      <c r="I111" s="1" t="s">
        <v>2864</v>
      </c>
      <c r="J111" s="5">
        <v>1200000</v>
      </c>
      <c r="K111" s="1" t="s">
        <v>3394</v>
      </c>
      <c r="L111" s="5">
        <v>6000</v>
      </c>
      <c r="M111" s="1" t="s">
        <v>2308</v>
      </c>
      <c r="N111" s="1" t="s">
        <v>3983</v>
      </c>
      <c r="O111" s="1" t="s">
        <v>2521</v>
      </c>
      <c r="P111" s="1" t="s">
        <v>2515</v>
      </c>
      <c r="Q111" s="1" t="s">
        <v>4805</v>
      </c>
      <c r="R111" s="1" t="s">
        <v>4067</v>
      </c>
      <c r="S111" s="1" t="s">
        <v>4971</v>
      </c>
      <c r="T111" s="6">
        <v>44593</v>
      </c>
      <c r="U111" s="6">
        <v>44593</v>
      </c>
      <c r="V111" s="7">
        <v>0.59597222222222224</v>
      </c>
      <c r="W111" s="6">
        <v>44609</v>
      </c>
      <c r="X111" s="7">
        <v>0</v>
      </c>
      <c r="Y111" s="8">
        <v>44609.627754629626</v>
      </c>
      <c r="Z111" s="5">
        <v>1700</v>
      </c>
      <c r="AA111" s="1" t="s">
        <v>3403</v>
      </c>
      <c r="AB111" s="1"/>
      <c r="AC111" s="1"/>
      <c r="AD111" s="1"/>
      <c r="AE111" s="1" t="s">
        <v>3803</v>
      </c>
      <c r="AF111" s="1" t="s">
        <v>9</v>
      </c>
      <c r="AG111" s="4">
        <v>2</v>
      </c>
      <c r="AH111" s="1"/>
      <c r="AI111" s="6">
        <v>44651</v>
      </c>
    </row>
    <row r="112" spans="1:35" x14ac:dyDescent="0.3">
      <c r="A112" s="1" t="s">
        <v>2276</v>
      </c>
      <c r="B112" s="2" t="str">
        <f>HYPERLINK("https://my.zakupki.prom.ua/remote/dispatcher/state_purchase_view/34696464")</f>
        <v>https://my.zakupki.prom.ua/remote/dispatcher/state_purchase_view/34696464</v>
      </c>
      <c r="C112" s="1" t="s">
        <v>3501</v>
      </c>
      <c r="D112" s="1" t="s">
        <v>735</v>
      </c>
      <c r="E112" s="4">
        <v>1</v>
      </c>
      <c r="F112" s="5">
        <v>40000</v>
      </c>
      <c r="G112" s="1" t="s">
        <v>4989</v>
      </c>
      <c r="H112" s="1" t="s">
        <v>389</v>
      </c>
      <c r="I112" s="1" t="s">
        <v>2581</v>
      </c>
      <c r="J112" s="5">
        <v>40000</v>
      </c>
      <c r="K112" s="1" t="s">
        <v>3394</v>
      </c>
      <c r="L112" s="5">
        <v>200</v>
      </c>
      <c r="M112" s="1" t="s">
        <v>2308</v>
      </c>
      <c r="N112" s="1" t="s">
        <v>3403</v>
      </c>
      <c r="O112" s="1" t="s">
        <v>2521</v>
      </c>
      <c r="P112" s="1" t="s">
        <v>2762</v>
      </c>
      <c r="Q112" s="1" t="s">
        <v>3325</v>
      </c>
      <c r="R112" s="1" t="s">
        <v>4081</v>
      </c>
      <c r="S112" s="1" t="s">
        <v>4937</v>
      </c>
      <c r="T112" s="6">
        <v>44593</v>
      </c>
      <c r="U112" s="6">
        <v>44599</v>
      </c>
      <c r="V112" s="7">
        <v>0.375</v>
      </c>
      <c r="W112" s="6">
        <v>44602</v>
      </c>
      <c r="X112" s="7">
        <v>0.375</v>
      </c>
      <c r="Y112" s="1" t="s">
        <v>4860</v>
      </c>
      <c r="Z112" s="5">
        <v>119</v>
      </c>
      <c r="AA112" s="1" t="s">
        <v>3403</v>
      </c>
      <c r="AB112" s="1"/>
      <c r="AC112" s="1"/>
      <c r="AD112" s="1"/>
      <c r="AE112" s="1" t="s">
        <v>3774</v>
      </c>
      <c r="AF112" s="1" t="s">
        <v>9</v>
      </c>
      <c r="AG112" s="1" t="s">
        <v>9</v>
      </c>
      <c r="AH112" s="1"/>
      <c r="AI112" s="6">
        <v>44615</v>
      </c>
    </row>
    <row r="113" spans="1:35" x14ac:dyDescent="0.3">
      <c r="A113" s="1" t="s">
        <v>1878</v>
      </c>
      <c r="B113" s="2" t="str">
        <f>HYPERLINK("https://my.zakupki.prom.ua/remote/dispatcher/state_purchase_view/34696444")</f>
        <v>https://my.zakupki.prom.ua/remote/dispatcher/state_purchase_view/34696444</v>
      </c>
      <c r="C113" s="1" t="s">
        <v>3446</v>
      </c>
      <c r="D113" s="1" t="s">
        <v>1243</v>
      </c>
      <c r="E113" s="4">
        <v>1</v>
      </c>
      <c r="F113" s="5">
        <v>250000</v>
      </c>
      <c r="G113" s="1" t="s">
        <v>4940</v>
      </c>
      <c r="H113" s="1" t="s">
        <v>676</v>
      </c>
      <c r="I113" s="1" t="s">
        <v>2333</v>
      </c>
      <c r="J113" s="5">
        <v>250000</v>
      </c>
      <c r="K113" s="1" t="s">
        <v>3394</v>
      </c>
      <c r="L113" s="5">
        <v>1250</v>
      </c>
      <c r="M113" s="1" t="s">
        <v>2308</v>
      </c>
      <c r="N113" s="1" t="s">
        <v>3403</v>
      </c>
      <c r="O113" s="1" t="s">
        <v>2521</v>
      </c>
      <c r="P113" s="1" t="s">
        <v>2515</v>
      </c>
      <c r="Q113" s="1" t="s">
        <v>3035</v>
      </c>
      <c r="R113" s="1" t="s">
        <v>4214</v>
      </c>
      <c r="S113" s="1" t="s">
        <v>4971</v>
      </c>
      <c r="T113" s="6">
        <v>44593</v>
      </c>
      <c r="U113" s="6">
        <v>44593</v>
      </c>
      <c r="V113" s="7">
        <v>0.60543812396990737</v>
      </c>
      <c r="W113" s="6">
        <v>44609</v>
      </c>
      <c r="X113" s="7">
        <v>0</v>
      </c>
      <c r="Y113" s="8">
        <v>44609.603425925925</v>
      </c>
      <c r="Z113" s="5">
        <v>510</v>
      </c>
      <c r="AA113" s="1" t="s">
        <v>3403</v>
      </c>
      <c r="AB113" s="1"/>
      <c r="AC113" s="1"/>
      <c r="AD113" s="1"/>
      <c r="AE113" s="1" t="s">
        <v>3727</v>
      </c>
      <c r="AF113" s="1" t="s">
        <v>9</v>
      </c>
      <c r="AG113" s="1" t="s">
        <v>9</v>
      </c>
      <c r="AH113" s="1"/>
      <c r="AI113" s="6">
        <v>44926</v>
      </c>
    </row>
    <row r="114" spans="1:35" x14ac:dyDescent="0.3">
      <c r="A114" s="1" t="s">
        <v>2277</v>
      </c>
      <c r="B114" s="2" t="str">
        <f>HYPERLINK("https://my.zakupki.prom.ua/remote/dispatcher/state_purchase_view/34696437")</f>
        <v>https://my.zakupki.prom.ua/remote/dispatcher/state_purchase_view/34696437</v>
      </c>
      <c r="C114" s="1" t="s">
        <v>3016</v>
      </c>
      <c r="D114" s="1" t="s">
        <v>1139</v>
      </c>
      <c r="E114" s="4">
        <v>1</v>
      </c>
      <c r="F114" s="5">
        <v>955600</v>
      </c>
      <c r="G114" s="1" t="s">
        <v>4975</v>
      </c>
      <c r="H114" s="1" t="s">
        <v>601</v>
      </c>
      <c r="I114" s="1" t="s">
        <v>2344</v>
      </c>
      <c r="J114" s="5">
        <v>955600</v>
      </c>
      <c r="K114" s="1" t="s">
        <v>3394</v>
      </c>
      <c r="L114" s="5">
        <v>4778</v>
      </c>
      <c r="M114" s="1" t="s">
        <v>2308</v>
      </c>
      <c r="N114" s="1" t="s">
        <v>3983</v>
      </c>
      <c r="O114" s="1" t="s">
        <v>1149</v>
      </c>
      <c r="P114" s="1" t="s">
        <v>3956</v>
      </c>
      <c r="Q114" s="1" t="s">
        <v>3970</v>
      </c>
      <c r="R114" s="1" t="s">
        <v>4081</v>
      </c>
      <c r="S114" s="1" t="s">
        <v>4937</v>
      </c>
      <c r="T114" s="6">
        <v>44593</v>
      </c>
      <c r="U114" s="6">
        <v>44599</v>
      </c>
      <c r="V114" s="7">
        <v>0.60555555555555551</v>
      </c>
      <c r="W114" s="6">
        <v>44602</v>
      </c>
      <c r="X114" s="7">
        <v>0.625</v>
      </c>
      <c r="Y114" s="1" t="s">
        <v>4860</v>
      </c>
      <c r="Z114" s="5">
        <v>510</v>
      </c>
      <c r="AA114" s="1" t="s">
        <v>3403</v>
      </c>
      <c r="AB114" s="1"/>
      <c r="AC114" s="1"/>
      <c r="AD114" s="1"/>
      <c r="AE114" s="1" t="s">
        <v>3700</v>
      </c>
      <c r="AF114" s="1" t="s">
        <v>9</v>
      </c>
      <c r="AG114" s="4">
        <v>11</v>
      </c>
      <c r="AH114" s="1"/>
      <c r="AI114" s="6">
        <v>44926</v>
      </c>
    </row>
    <row r="115" spans="1:35" x14ac:dyDescent="0.3">
      <c r="A115" s="1" t="s">
        <v>2254</v>
      </c>
      <c r="B115" s="2" t="str">
        <f>HYPERLINK("https://my.zakupki.prom.ua/remote/dispatcher/state_purchase_view/34696434")</f>
        <v>https://my.zakupki.prom.ua/remote/dispatcher/state_purchase_view/34696434</v>
      </c>
      <c r="C115" s="1" t="s">
        <v>3333</v>
      </c>
      <c r="D115" s="1" t="s">
        <v>472</v>
      </c>
      <c r="E115" s="4">
        <v>10102</v>
      </c>
      <c r="F115" s="5">
        <v>27</v>
      </c>
      <c r="G115" s="1" t="s">
        <v>4883</v>
      </c>
      <c r="H115" s="1" t="s">
        <v>201</v>
      </c>
      <c r="I115" s="1" t="s">
        <v>3000</v>
      </c>
      <c r="J115" s="5">
        <v>272754</v>
      </c>
      <c r="K115" s="1" t="s">
        <v>3394</v>
      </c>
      <c r="L115" s="5">
        <v>1363.77</v>
      </c>
      <c r="M115" s="1" t="s">
        <v>2308</v>
      </c>
      <c r="N115" s="1" t="s">
        <v>3983</v>
      </c>
      <c r="O115" s="1" t="s">
        <v>2521</v>
      </c>
      <c r="P115" s="1" t="s">
        <v>2515</v>
      </c>
      <c r="Q115" s="1" t="s">
        <v>4805</v>
      </c>
      <c r="R115" s="1" t="s">
        <v>4081</v>
      </c>
      <c r="S115" s="1" t="s">
        <v>4971</v>
      </c>
      <c r="T115" s="6">
        <v>44593</v>
      </c>
      <c r="U115" s="6">
        <v>44593</v>
      </c>
      <c r="V115" s="7">
        <v>0.60311496792824071</v>
      </c>
      <c r="W115" s="6">
        <v>44609</v>
      </c>
      <c r="X115" s="7">
        <v>0.75</v>
      </c>
      <c r="Y115" s="8">
        <v>44610.466817129629</v>
      </c>
      <c r="Z115" s="5">
        <v>510</v>
      </c>
      <c r="AA115" s="1" t="s">
        <v>3403</v>
      </c>
      <c r="AB115" s="1"/>
      <c r="AC115" s="1"/>
      <c r="AD115" s="1"/>
      <c r="AE115" s="1" t="s">
        <v>3787</v>
      </c>
      <c r="AF115" s="1" t="s">
        <v>9</v>
      </c>
      <c r="AG115" s="1" t="s">
        <v>9</v>
      </c>
      <c r="AH115" s="1"/>
      <c r="AI115" s="6">
        <v>44926</v>
      </c>
    </row>
    <row r="116" spans="1:35" x14ac:dyDescent="0.3">
      <c r="A116" s="1" t="s">
        <v>2269</v>
      </c>
      <c r="B116" s="2" t="str">
        <f>HYPERLINK("https://my.zakupki.prom.ua/remote/dispatcher/state_purchase_view/34696431")</f>
        <v>https://my.zakupki.prom.ua/remote/dispatcher/state_purchase_view/34696431</v>
      </c>
      <c r="C116" s="1" t="s">
        <v>3302</v>
      </c>
      <c r="D116" s="1" t="s">
        <v>474</v>
      </c>
      <c r="E116" s="4">
        <v>1352</v>
      </c>
      <c r="F116" s="5">
        <v>210</v>
      </c>
      <c r="G116" s="1" t="s">
        <v>4883</v>
      </c>
      <c r="H116" s="1" t="s">
        <v>201</v>
      </c>
      <c r="I116" s="1" t="s">
        <v>3000</v>
      </c>
      <c r="J116" s="5">
        <v>283920</v>
      </c>
      <c r="K116" s="1" t="s">
        <v>3394</v>
      </c>
      <c r="L116" s="5">
        <v>1419.6</v>
      </c>
      <c r="M116" s="1" t="s">
        <v>2308</v>
      </c>
      <c r="N116" s="1" t="s">
        <v>3983</v>
      </c>
      <c r="O116" s="1" t="s">
        <v>2521</v>
      </c>
      <c r="P116" s="1" t="s">
        <v>2515</v>
      </c>
      <c r="Q116" s="1" t="s">
        <v>4805</v>
      </c>
      <c r="R116" s="1" t="s">
        <v>4081</v>
      </c>
      <c r="S116" s="1" t="s">
        <v>4971</v>
      </c>
      <c r="T116" s="6">
        <v>44593</v>
      </c>
      <c r="U116" s="6">
        <v>44593</v>
      </c>
      <c r="V116" s="7">
        <v>0.60651941331018511</v>
      </c>
      <c r="W116" s="6">
        <v>44609</v>
      </c>
      <c r="X116" s="7">
        <v>0.75</v>
      </c>
      <c r="Y116" s="8">
        <v>44610.556956018518</v>
      </c>
      <c r="Z116" s="5">
        <v>510</v>
      </c>
      <c r="AA116" s="1" t="s">
        <v>3403</v>
      </c>
      <c r="AB116" s="1"/>
      <c r="AC116" s="1"/>
      <c r="AD116" s="1"/>
      <c r="AE116" s="1" t="s">
        <v>3787</v>
      </c>
      <c r="AF116" s="1" t="s">
        <v>9</v>
      </c>
      <c r="AG116" s="1" t="s">
        <v>9</v>
      </c>
      <c r="AH116" s="1"/>
      <c r="AI116" s="6">
        <v>44926</v>
      </c>
    </row>
    <row r="117" spans="1:35" x14ac:dyDescent="0.3">
      <c r="A117" s="1" t="s">
        <v>1877</v>
      </c>
      <c r="B117" s="2" t="str">
        <f>HYPERLINK("https://my.zakupki.prom.ua/remote/dispatcher/state_purchase_view/34696422")</f>
        <v>https://my.zakupki.prom.ua/remote/dispatcher/state_purchase_view/34696422</v>
      </c>
      <c r="C117" s="1" t="s">
        <v>1207</v>
      </c>
      <c r="D117" s="1" t="s">
        <v>1207</v>
      </c>
      <c r="E117" s="4">
        <v>1</v>
      </c>
      <c r="F117" s="5">
        <v>1600</v>
      </c>
      <c r="G117" s="1" t="s">
        <v>4940</v>
      </c>
      <c r="H117" s="1" t="s">
        <v>935</v>
      </c>
      <c r="I117" s="1" t="s">
        <v>2798</v>
      </c>
      <c r="J117" s="5">
        <v>1600</v>
      </c>
      <c r="K117" s="1" t="s">
        <v>3394</v>
      </c>
      <c r="L117" s="5">
        <v>16</v>
      </c>
      <c r="M117" s="1" t="s">
        <v>2308</v>
      </c>
      <c r="N117" s="1" t="s">
        <v>3983</v>
      </c>
      <c r="O117" s="1" t="s">
        <v>2521</v>
      </c>
      <c r="P117" s="1" t="s">
        <v>3956</v>
      </c>
      <c r="Q117" s="1" t="s">
        <v>2528</v>
      </c>
      <c r="R117" s="1" t="s">
        <v>4470</v>
      </c>
      <c r="S117" s="1" t="s">
        <v>4937</v>
      </c>
      <c r="T117" s="6">
        <v>44593</v>
      </c>
      <c r="U117" s="6">
        <v>44599</v>
      </c>
      <c r="V117" s="7">
        <v>0</v>
      </c>
      <c r="W117" s="6">
        <v>44602</v>
      </c>
      <c r="X117" s="7">
        <v>0</v>
      </c>
      <c r="Y117" s="1" t="s">
        <v>4860</v>
      </c>
      <c r="Z117" s="5">
        <v>17</v>
      </c>
      <c r="AA117" s="1" t="s">
        <v>3403</v>
      </c>
      <c r="AB117" s="1"/>
      <c r="AC117" s="1"/>
      <c r="AD117" s="1"/>
      <c r="AE117" s="1" t="s">
        <v>3751</v>
      </c>
      <c r="AF117" s="1" t="s">
        <v>9</v>
      </c>
      <c r="AG117" s="1" t="s">
        <v>9</v>
      </c>
      <c r="AH117" s="1"/>
      <c r="AI117" s="6">
        <v>44926</v>
      </c>
    </row>
    <row r="118" spans="1:35" x14ac:dyDescent="0.3">
      <c r="A118" s="1" t="s">
        <v>1879</v>
      </c>
      <c r="B118" s="2" t="str">
        <f>HYPERLINK("https://my.zakupki.prom.ua/remote/dispatcher/state_purchase_view/34696421")</f>
        <v>https://my.zakupki.prom.ua/remote/dispatcher/state_purchase_view/34696421</v>
      </c>
      <c r="C118" s="1" t="s">
        <v>1259</v>
      </c>
      <c r="D118" s="1" t="s">
        <v>1262</v>
      </c>
      <c r="E118" s="1" t="s">
        <v>4903</v>
      </c>
      <c r="F118" s="1" t="s">
        <v>4903</v>
      </c>
      <c r="G118" s="1" t="s">
        <v>4903</v>
      </c>
      <c r="H118" s="1" t="s">
        <v>1033</v>
      </c>
      <c r="I118" s="1" t="s">
        <v>3109</v>
      </c>
      <c r="J118" s="5">
        <v>196199.35</v>
      </c>
      <c r="K118" s="1" t="s">
        <v>3394</v>
      </c>
      <c r="L118" s="5">
        <v>980.99</v>
      </c>
      <c r="M118" s="1" t="s">
        <v>2308</v>
      </c>
      <c r="N118" s="1" t="s">
        <v>3983</v>
      </c>
      <c r="O118" s="1" t="s">
        <v>2521</v>
      </c>
      <c r="P118" s="1" t="s">
        <v>3956</v>
      </c>
      <c r="Q118" s="1" t="s">
        <v>4911</v>
      </c>
      <c r="R118" s="1" t="s">
        <v>4081</v>
      </c>
      <c r="S118" s="1" t="s">
        <v>4937</v>
      </c>
      <c r="T118" s="6">
        <v>44593</v>
      </c>
      <c r="U118" s="6">
        <v>44599</v>
      </c>
      <c r="V118" s="7">
        <v>0</v>
      </c>
      <c r="W118" s="6">
        <v>44601</v>
      </c>
      <c r="X118" s="7">
        <v>0</v>
      </c>
      <c r="Y118" s="1" t="s">
        <v>4860</v>
      </c>
      <c r="Z118" s="5">
        <v>340</v>
      </c>
      <c r="AA118" s="1" t="s">
        <v>3403</v>
      </c>
      <c r="AB118" s="1"/>
      <c r="AC118" s="1"/>
      <c r="AD118" s="1"/>
      <c r="AE118" s="1" t="s">
        <v>3727</v>
      </c>
      <c r="AF118" s="1" t="s">
        <v>9</v>
      </c>
      <c r="AG118" s="4">
        <v>15</v>
      </c>
      <c r="AH118" s="1"/>
      <c r="AI118" s="6">
        <v>44926</v>
      </c>
    </row>
    <row r="119" spans="1:35" x14ac:dyDescent="0.3">
      <c r="A119" s="1" t="s">
        <v>1884</v>
      </c>
      <c r="B119" s="2" t="str">
        <f>HYPERLINK("https://my.zakupki.prom.ua/remote/dispatcher/state_purchase_view/34696406")</f>
        <v>https://my.zakupki.prom.ua/remote/dispatcher/state_purchase_view/34696406</v>
      </c>
      <c r="C119" s="1" t="s">
        <v>1173</v>
      </c>
      <c r="D119" s="1" t="s">
        <v>1175</v>
      </c>
      <c r="E119" s="4">
        <v>1</v>
      </c>
      <c r="F119" s="5">
        <v>594000</v>
      </c>
      <c r="G119" s="1" t="s">
        <v>4940</v>
      </c>
      <c r="H119" s="1" t="s">
        <v>42</v>
      </c>
      <c r="I119" s="1" t="s">
        <v>3108</v>
      </c>
      <c r="J119" s="5">
        <v>594000</v>
      </c>
      <c r="K119" s="1" t="s">
        <v>3394</v>
      </c>
      <c r="L119" s="5">
        <v>2970</v>
      </c>
      <c r="M119" s="1" t="s">
        <v>2308</v>
      </c>
      <c r="N119" s="1" t="s">
        <v>3983</v>
      </c>
      <c r="O119" s="1" t="s">
        <v>2521</v>
      </c>
      <c r="P119" s="1" t="s">
        <v>2515</v>
      </c>
      <c r="Q119" s="1" t="s">
        <v>3035</v>
      </c>
      <c r="R119" s="1" t="s">
        <v>4081</v>
      </c>
      <c r="S119" s="1" t="s">
        <v>4971</v>
      </c>
      <c r="T119" s="6">
        <v>44593</v>
      </c>
      <c r="U119" s="6">
        <v>44593</v>
      </c>
      <c r="V119" s="7">
        <v>0.60670132765046292</v>
      </c>
      <c r="W119" s="6">
        <v>44609</v>
      </c>
      <c r="X119" s="7">
        <v>0.5</v>
      </c>
      <c r="Y119" s="8">
        <v>44610.596203703702</v>
      </c>
      <c r="Z119" s="5">
        <v>510</v>
      </c>
      <c r="AA119" s="1" t="s">
        <v>3403</v>
      </c>
      <c r="AB119" s="1"/>
      <c r="AC119" s="1"/>
      <c r="AD119" s="1"/>
      <c r="AE119" s="1" t="s">
        <v>3758</v>
      </c>
      <c r="AF119" s="1" t="s">
        <v>9</v>
      </c>
      <c r="AG119" s="4">
        <v>34</v>
      </c>
      <c r="AH119" s="1"/>
      <c r="AI119" s="6">
        <v>44651</v>
      </c>
    </row>
    <row r="120" spans="1:35" x14ac:dyDescent="0.3">
      <c r="A120" s="1" t="s">
        <v>1876</v>
      </c>
      <c r="B120" s="2" t="str">
        <f>HYPERLINK("https://my.zakupki.prom.ua/remote/dispatcher/state_purchase_view/34696389")</f>
        <v>https://my.zakupki.prom.ua/remote/dispatcher/state_purchase_view/34696389</v>
      </c>
      <c r="C120" s="1" t="s">
        <v>2386</v>
      </c>
      <c r="D120" s="1" t="s">
        <v>1044</v>
      </c>
      <c r="E120" s="4">
        <v>2</v>
      </c>
      <c r="F120" s="5">
        <v>40330</v>
      </c>
      <c r="G120" s="1" t="s">
        <v>4989</v>
      </c>
      <c r="H120" s="1" t="s">
        <v>422</v>
      </c>
      <c r="I120" s="1" t="s">
        <v>2576</v>
      </c>
      <c r="J120" s="5">
        <v>80660</v>
      </c>
      <c r="K120" s="1" t="s">
        <v>3394</v>
      </c>
      <c r="L120" s="5">
        <v>403.3</v>
      </c>
      <c r="M120" s="1" t="s">
        <v>2308</v>
      </c>
      <c r="N120" s="1" t="s">
        <v>3403</v>
      </c>
      <c r="O120" s="1" t="s">
        <v>2521</v>
      </c>
      <c r="P120" s="1" t="s">
        <v>2762</v>
      </c>
      <c r="Q120" s="1" t="s">
        <v>2820</v>
      </c>
      <c r="R120" s="1" t="s">
        <v>4047</v>
      </c>
      <c r="S120" s="1" t="s">
        <v>4937</v>
      </c>
      <c r="T120" s="6">
        <v>44593</v>
      </c>
      <c r="U120" s="6">
        <v>44599</v>
      </c>
      <c r="V120" s="7">
        <v>0.45833333333333331</v>
      </c>
      <c r="W120" s="6">
        <v>44602</v>
      </c>
      <c r="X120" s="7">
        <v>0.66666666666666663</v>
      </c>
      <c r="Y120" s="1" t="s">
        <v>4860</v>
      </c>
      <c r="Z120" s="5">
        <v>340</v>
      </c>
      <c r="AA120" s="1" t="s">
        <v>3403</v>
      </c>
      <c r="AB120" s="1"/>
      <c r="AC120" s="1"/>
      <c r="AD120" s="1"/>
      <c r="AE120" s="1" t="s">
        <v>2354</v>
      </c>
      <c r="AF120" s="1" t="s">
        <v>9</v>
      </c>
      <c r="AG120" s="1" t="s">
        <v>9</v>
      </c>
      <c r="AH120" s="6">
        <v>44621</v>
      </c>
      <c r="AI120" s="6">
        <v>44661</v>
      </c>
    </row>
    <row r="121" spans="1:35" x14ac:dyDescent="0.3">
      <c r="A121" s="1" t="s">
        <v>1841</v>
      </c>
      <c r="B121" s="2" t="str">
        <f>HYPERLINK("https://my.zakupki.prom.ua/remote/dispatcher/state_purchase_view/34696388")</f>
        <v>https://my.zakupki.prom.ua/remote/dispatcher/state_purchase_view/34696388</v>
      </c>
      <c r="C121" s="1" t="s">
        <v>3447</v>
      </c>
      <c r="D121" s="1" t="s">
        <v>1243</v>
      </c>
      <c r="E121" s="4">
        <v>2</v>
      </c>
      <c r="F121" s="5">
        <v>270000</v>
      </c>
      <c r="G121" s="1" t="s">
        <v>4940</v>
      </c>
      <c r="H121" s="1" t="s">
        <v>898</v>
      </c>
      <c r="I121" s="1" t="s">
        <v>4739</v>
      </c>
      <c r="J121" s="5">
        <v>540000</v>
      </c>
      <c r="K121" s="1" t="s">
        <v>3394</v>
      </c>
      <c r="L121" s="5">
        <v>2700</v>
      </c>
      <c r="M121" s="1" t="s">
        <v>2308</v>
      </c>
      <c r="N121" s="1" t="s">
        <v>3983</v>
      </c>
      <c r="O121" s="1" t="s">
        <v>2521</v>
      </c>
      <c r="P121" s="1" t="s">
        <v>2515</v>
      </c>
      <c r="Q121" s="1" t="s">
        <v>4911</v>
      </c>
      <c r="R121" s="1" t="s">
        <v>4709</v>
      </c>
      <c r="S121" s="1" t="s">
        <v>4971</v>
      </c>
      <c r="T121" s="6">
        <v>44593</v>
      </c>
      <c r="U121" s="6">
        <v>44593</v>
      </c>
      <c r="V121" s="7">
        <v>0.59634536690972217</v>
      </c>
      <c r="W121" s="6">
        <v>44609</v>
      </c>
      <c r="X121" s="7">
        <v>0.59980324074074076</v>
      </c>
      <c r="Y121" s="8">
        <v>44610.488900462966</v>
      </c>
      <c r="Z121" s="5">
        <v>510</v>
      </c>
      <c r="AA121" s="1" t="s">
        <v>3403</v>
      </c>
      <c r="AB121" s="1"/>
      <c r="AC121" s="1"/>
      <c r="AD121" s="1"/>
      <c r="AE121" s="1" t="s">
        <v>3748</v>
      </c>
      <c r="AF121" s="1" t="s">
        <v>9</v>
      </c>
      <c r="AG121" s="4">
        <v>203</v>
      </c>
      <c r="AH121" s="1"/>
      <c r="AI121" s="6">
        <v>44926</v>
      </c>
    </row>
    <row r="122" spans="1:35" x14ac:dyDescent="0.3">
      <c r="A122" s="1" t="s">
        <v>1532</v>
      </c>
      <c r="B122" s="2" t="str">
        <f>HYPERLINK("https://my.zakupki.prom.ua/remote/dispatcher/state_purchase_view/34696386")</f>
        <v>https://my.zakupki.prom.ua/remote/dispatcher/state_purchase_view/34696386</v>
      </c>
      <c r="C122" s="1" t="s">
        <v>2829</v>
      </c>
      <c r="D122" s="1" t="s">
        <v>208</v>
      </c>
      <c r="E122" s="4">
        <v>42023</v>
      </c>
      <c r="F122" s="5">
        <v>22</v>
      </c>
      <c r="G122" s="1" t="s">
        <v>4883</v>
      </c>
      <c r="H122" s="1" t="s">
        <v>203</v>
      </c>
      <c r="I122" s="1" t="s">
        <v>3003</v>
      </c>
      <c r="J122" s="5">
        <v>924420</v>
      </c>
      <c r="K122" s="1" t="s">
        <v>3394</v>
      </c>
      <c r="L122" s="5">
        <v>4622.1000000000004</v>
      </c>
      <c r="M122" s="1" t="s">
        <v>2308</v>
      </c>
      <c r="N122" s="1" t="s">
        <v>3983</v>
      </c>
      <c r="O122" s="1" t="s">
        <v>2521</v>
      </c>
      <c r="P122" s="1" t="s">
        <v>2515</v>
      </c>
      <c r="Q122" s="1" t="s">
        <v>2761</v>
      </c>
      <c r="R122" s="1" t="s">
        <v>4583</v>
      </c>
      <c r="S122" s="1" t="s">
        <v>4971</v>
      </c>
      <c r="T122" s="6">
        <v>44593</v>
      </c>
      <c r="U122" s="6">
        <v>44593</v>
      </c>
      <c r="V122" s="7">
        <v>0.60336154675925924</v>
      </c>
      <c r="W122" s="6">
        <v>44609</v>
      </c>
      <c r="X122" s="7">
        <v>0.60678240740740741</v>
      </c>
      <c r="Y122" s="8">
        <v>44610.603101851855</v>
      </c>
      <c r="Z122" s="5">
        <v>510</v>
      </c>
      <c r="AA122" s="1" t="s">
        <v>3403</v>
      </c>
      <c r="AB122" s="1"/>
      <c r="AC122" s="1"/>
      <c r="AD122" s="1"/>
      <c r="AE122" s="1" t="s">
        <v>3788</v>
      </c>
      <c r="AF122" s="1" t="s">
        <v>9</v>
      </c>
      <c r="AG122" s="4">
        <v>24</v>
      </c>
      <c r="AH122" s="1"/>
      <c r="AI122" s="6">
        <v>44926</v>
      </c>
    </row>
    <row r="123" spans="1:35" x14ac:dyDescent="0.3">
      <c r="A123" s="1" t="s">
        <v>1874</v>
      </c>
      <c r="B123" s="2" t="str">
        <f>HYPERLINK("https://my.zakupki.prom.ua/remote/dispatcher/state_purchase_view/34696378")</f>
        <v>https://my.zakupki.prom.ua/remote/dispatcher/state_purchase_view/34696378</v>
      </c>
      <c r="C123" s="1" t="s">
        <v>4972</v>
      </c>
      <c r="D123" s="1" t="s">
        <v>966</v>
      </c>
      <c r="E123" s="1" t="s">
        <v>4903</v>
      </c>
      <c r="F123" s="1" t="s">
        <v>4903</v>
      </c>
      <c r="G123" s="1" t="s">
        <v>4903</v>
      </c>
      <c r="H123" s="1" t="s">
        <v>198</v>
      </c>
      <c r="I123" s="1" t="s">
        <v>3361</v>
      </c>
      <c r="J123" s="5">
        <v>85830</v>
      </c>
      <c r="K123" s="1" t="s">
        <v>3394</v>
      </c>
      <c r="L123" s="5">
        <v>429.15</v>
      </c>
      <c r="M123" s="1" t="s">
        <v>2308</v>
      </c>
      <c r="N123" s="1" t="s">
        <v>3403</v>
      </c>
      <c r="O123" s="1" t="s">
        <v>2521</v>
      </c>
      <c r="P123" s="1" t="s">
        <v>3956</v>
      </c>
      <c r="Q123" s="1" t="s">
        <v>3262</v>
      </c>
      <c r="R123" s="1" t="s">
        <v>4645</v>
      </c>
      <c r="S123" s="1" t="s">
        <v>4937</v>
      </c>
      <c r="T123" s="6">
        <v>44593</v>
      </c>
      <c r="U123" s="6">
        <v>44599</v>
      </c>
      <c r="V123" s="7">
        <v>0.62638888888888888</v>
      </c>
      <c r="W123" s="6">
        <v>44608</v>
      </c>
      <c r="X123" s="7">
        <v>0.62638888888888888</v>
      </c>
      <c r="Y123" s="1" t="s">
        <v>4860</v>
      </c>
      <c r="Z123" s="5">
        <v>340</v>
      </c>
      <c r="AA123" s="1" t="s">
        <v>3403</v>
      </c>
      <c r="AB123" s="1"/>
      <c r="AC123" s="1"/>
      <c r="AD123" s="1"/>
      <c r="AE123" s="1" t="s">
        <v>3803</v>
      </c>
      <c r="AF123" s="1" t="s">
        <v>9</v>
      </c>
      <c r="AG123" s="4">
        <v>1</v>
      </c>
      <c r="AH123" s="1"/>
      <c r="AI123" s="6">
        <v>44926</v>
      </c>
    </row>
    <row r="124" spans="1:35" x14ac:dyDescent="0.3">
      <c r="A124" s="1" t="s">
        <v>1820</v>
      </c>
      <c r="B124" s="2" t="str">
        <f>HYPERLINK("https://my.zakupki.prom.ua/remote/dispatcher/state_purchase_view/34696373")</f>
        <v>https://my.zakupki.prom.ua/remote/dispatcher/state_purchase_view/34696373</v>
      </c>
      <c r="C124" s="1" t="s">
        <v>4016</v>
      </c>
      <c r="D124" s="1" t="s">
        <v>717</v>
      </c>
      <c r="E124" s="1" t="s">
        <v>4903</v>
      </c>
      <c r="F124" s="1" t="s">
        <v>4903</v>
      </c>
      <c r="G124" s="1" t="s">
        <v>4903</v>
      </c>
      <c r="H124" s="1" t="s">
        <v>21</v>
      </c>
      <c r="I124" s="1" t="s">
        <v>3467</v>
      </c>
      <c r="J124" s="5">
        <v>6864216</v>
      </c>
      <c r="K124" s="1" t="s">
        <v>3394</v>
      </c>
      <c r="L124" s="5">
        <v>68642.16</v>
      </c>
      <c r="M124" s="1" t="s">
        <v>2308</v>
      </c>
      <c r="N124" s="1" t="s">
        <v>3983</v>
      </c>
      <c r="O124" s="1" t="s">
        <v>540</v>
      </c>
      <c r="P124" s="1" t="s">
        <v>2516</v>
      </c>
      <c r="Q124" s="1" t="s">
        <v>3264</v>
      </c>
      <c r="R124" s="1" t="s">
        <v>4414</v>
      </c>
      <c r="S124" s="1" t="s">
        <v>4971</v>
      </c>
      <c r="T124" s="6">
        <v>44593</v>
      </c>
      <c r="U124" s="6">
        <v>44593</v>
      </c>
      <c r="V124" s="7">
        <v>0.59094621412037041</v>
      </c>
      <c r="W124" s="6">
        <v>44624</v>
      </c>
      <c r="X124" s="7">
        <v>0.41666666666666669</v>
      </c>
      <c r="Y124" s="8">
        <v>44662.543078703704</v>
      </c>
      <c r="Z124" s="5">
        <v>3400</v>
      </c>
      <c r="AA124" s="1" t="s">
        <v>3403</v>
      </c>
      <c r="AB124" s="1"/>
      <c r="AC124" s="1"/>
      <c r="AD124" s="1"/>
      <c r="AE124" s="1" t="s">
        <v>3721</v>
      </c>
      <c r="AF124" s="1" t="s">
        <v>9</v>
      </c>
      <c r="AG124" s="4">
        <v>40</v>
      </c>
      <c r="AH124" s="1"/>
      <c r="AI124" s="6">
        <v>44926</v>
      </c>
    </row>
    <row r="125" spans="1:35" x14ac:dyDescent="0.3">
      <c r="A125" s="1" t="s">
        <v>2278</v>
      </c>
      <c r="B125" s="2" t="str">
        <f>HYPERLINK("https://my.zakupki.prom.ua/remote/dispatcher/state_purchase_view/34696122")</f>
        <v>https://my.zakupki.prom.ua/remote/dispatcher/state_purchase_view/34696122</v>
      </c>
      <c r="C125" s="1" t="s">
        <v>4861</v>
      </c>
      <c r="D125" s="1" t="s">
        <v>474</v>
      </c>
      <c r="E125" s="4">
        <v>1200</v>
      </c>
      <c r="F125" s="5">
        <v>190</v>
      </c>
      <c r="G125" s="1" t="s">
        <v>4901</v>
      </c>
      <c r="H125" s="1" t="s">
        <v>351</v>
      </c>
      <c r="I125" s="1" t="s">
        <v>2525</v>
      </c>
      <c r="J125" s="5">
        <v>228000</v>
      </c>
      <c r="K125" s="1" t="s">
        <v>3394</v>
      </c>
      <c r="L125" s="5">
        <v>2280</v>
      </c>
      <c r="M125" s="1" t="s">
        <v>2308</v>
      </c>
      <c r="N125" s="1" t="s">
        <v>3983</v>
      </c>
      <c r="O125" s="1" t="s">
        <v>2521</v>
      </c>
      <c r="P125" s="1" t="s">
        <v>2515</v>
      </c>
      <c r="Q125" s="1" t="s">
        <v>2528</v>
      </c>
      <c r="R125" s="1" t="s">
        <v>4302</v>
      </c>
      <c r="S125" s="1" t="s">
        <v>4971</v>
      </c>
      <c r="T125" s="6">
        <v>44593</v>
      </c>
      <c r="U125" s="6">
        <v>44593</v>
      </c>
      <c r="V125" s="7">
        <v>0.60831558179398149</v>
      </c>
      <c r="W125" s="6">
        <v>44609</v>
      </c>
      <c r="X125" s="7">
        <v>0.75</v>
      </c>
      <c r="Y125" s="8">
        <v>44610.577268518522</v>
      </c>
      <c r="Z125" s="5">
        <v>510</v>
      </c>
      <c r="AA125" s="1" t="s">
        <v>3403</v>
      </c>
      <c r="AB125" s="1"/>
      <c r="AC125" s="1"/>
      <c r="AD125" s="1"/>
      <c r="AE125" s="1" t="s">
        <v>3788</v>
      </c>
      <c r="AF125" s="1" t="s">
        <v>9</v>
      </c>
      <c r="AG125" s="4">
        <v>22</v>
      </c>
      <c r="AH125" s="1"/>
      <c r="AI125" s="6">
        <v>44926</v>
      </c>
    </row>
    <row r="126" spans="1:35" x14ac:dyDescent="0.3">
      <c r="A126" s="1" t="s">
        <v>2275</v>
      </c>
      <c r="B126" s="2" t="str">
        <f>HYPERLINK("https://my.zakupki.prom.ua/remote/dispatcher/state_purchase_view/34696307")</f>
        <v>https://my.zakupki.prom.ua/remote/dispatcher/state_purchase_view/34696307</v>
      </c>
      <c r="C126" s="1" t="s">
        <v>2379</v>
      </c>
      <c r="D126" s="1" t="s">
        <v>387</v>
      </c>
      <c r="E126" s="4">
        <v>70000</v>
      </c>
      <c r="F126" s="5">
        <v>5.5</v>
      </c>
      <c r="G126" s="1" t="s">
        <v>3235</v>
      </c>
      <c r="H126" s="1" t="s">
        <v>561</v>
      </c>
      <c r="I126" s="1" t="s">
        <v>2962</v>
      </c>
      <c r="J126" s="5">
        <v>385000</v>
      </c>
      <c r="K126" s="1" t="s">
        <v>3394</v>
      </c>
      <c r="L126" s="5">
        <v>1925</v>
      </c>
      <c r="M126" s="1" t="s">
        <v>2308</v>
      </c>
      <c r="N126" s="1" t="s">
        <v>3983</v>
      </c>
      <c r="O126" s="1" t="s">
        <v>396</v>
      </c>
      <c r="P126" s="1" t="s">
        <v>2515</v>
      </c>
      <c r="Q126" s="1" t="s">
        <v>4833</v>
      </c>
      <c r="R126" s="1" t="s">
        <v>4397</v>
      </c>
      <c r="S126" s="1" t="s">
        <v>4971</v>
      </c>
      <c r="T126" s="6">
        <v>44593</v>
      </c>
      <c r="U126" s="6">
        <v>44593</v>
      </c>
      <c r="V126" s="7">
        <v>0.60740064197916666</v>
      </c>
      <c r="W126" s="6">
        <v>44609</v>
      </c>
      <c r="X126" s="7">
        <v>0</v>
      </c>
      <c r="Y126" s="8">
        <v>44609.663437499999</v>
      </c>
      <c r="Z126" s="5">
        <v>510</v>
      </c>
      <c r="AA126" s="1" t="s">
        <v>3403</v>
      </c>
      <c r="AB126" s="1"/>
      <c r="AC126" s="1"/>
      <c r="AD126" s="1"/>
      <c r="AE126" s="1" t="s">
        <v>3795</v>
      </c>
      <c r="AF126" s="1" t="s">
        <v>9</v>
      </c>
      <c r="AG126" s="1" t="s">
        <v>9</v>
      </c>
      <c r="AH126" s="1"/>
      <c r="AI126" s="6">
        <v>44926</v>
      </c>
    </row>
    <row r="127" spans="1:35" x14ac:dyDescent="0.3">
      <c r="A127" s="1" t="s">
        <v>2274</v>
      </c>
      <c r="B127" s="2" t="str">
        <f>HYPERLINK("https://my.zakupki.prom.ua/remote/dispatcher/state_purchase_view/34696009")</f>
        <v>https://my.zakupki.prom.ua/remote/dispatcher/state_purchase_view/34696009</v>
      </c>
      <c r="C127" s="1" t="s">
        <v>3067</v>
      </c>
      <c r="D127" s="1" t="s">
        <v>782</v>
      </c>
      <c r="E127" s="1" t="s">
        <v>4903</v>
      </c>
      <c r="F127" s="1" t="s">
        <v>4903</v>
      </c>
      <c r="G127" s="1" t="s">
        <v>4903</v>
      </c>
      <c r="H127" s="1" t="s">
        <v>124</v>
      </c>
      <c r="I127" s="1" t="s">
        <v>3114</v>
      </c>
      <c r="J127" s="5">
        <v>61000</v>
      </c>
      <c r="K127" s="1" t="s">
        <v>3394</v>
      </c>
      <c r="L127" s="5">
        <v>305</v>
      </c>
      <c r="M127" s="1" t="s">
        <v>2308</v>
      </c>
      <c r="N127" s="1" t="s">
        <v>3983</v>
      </c>
      <c r="O127" s="1" t="s">
        <v>2521</v>
      </c>
      <c r="P127" s="1" t="s">
        <v>3956</v>
      </c>
      <c r="Q127" s="1" t="s">
        <v>4834</v>
      </c>
      <c r="R127" s="1" t="s">
        <v>4447</v>
      </c>
      <c r="S127" s="1" t="s">
        <v>4937</v>
      </c>
      <c r="T127" s="6">
        <v>44593</v>
      </c>
      <c r="U127" s="6">
        <v>44599</v>
      </c>
      <c r="V127" s="7">
        <v>4.1666666666666664E-2</v>
      </c>
      <c r="W127" s="6">
        <v>44602</v>
      </c>
      <c r="X127" s="7">
        <v>8.3333333333333329E-2</v>
      </c>
      <c r="Y127" s="1" t="s">
        <v>4860</v>
      </c>
      <c r="Z127" s="5">
        <v>340</v>
      </c>
      <c r="AA127" s="1" t="s">
        <v>3403</v>
      </c>
      <c r="AB127" s="1"/>
      <c r="AC127" s="1"/>
      <c r="AD127" s="1"/>
      <c r="AE127" s="1" t="s">
        <v>3779</v>
      </c>
      <c r="AF127" s="1" t="s">
        <v>9</v>
      </c>
      <c r="AG127" s="4">
        <v>6</v>
      </c>
      <c r="AH127" s="1"/>
      <c r="AI127" s="6">
        <v>44742</v>
      </c>
    </row>
    <row r="128" spans="1:35" x14ac:dyDescent="0.3">
      <c r="A128" s="1" t="s">
        <v>2273</v>
      </c>
      <c r="B128" s="2" t="str">
        <f>HYPERLINK("https://my.zakupki.prom.ua/remote/dispatcher/state_purchase_view/34696201")</f>
        <v>https://my.zakupki.prom.ua/remote/dispatcher/state_purchase_view/34696201</v>
      </c>
      <c r="C128" s="1" t="s">
        <v>3298</v>
      </c>
      <c r="D128" s="1" t="s">
        <v>782</v>
      </c>
      <c r="E128" s="4">
        <v>48500</v>
      </c>
      <c r="F128" s="5">
        <v>1.35</v>
      </c>
      <c r="G128" s="1" t="s">
        <v>4991</v>
      </c>
      <c r="H128" s="1" t="s">
        <v>740</v>
      </c>
      <c r="I128" s="1" t="s">
        <v>2934</v>
      </c>
      <c r="J128" s="5">
        <v>65475</v>
      </c>
      <c r="K128" s="1" t="s">
        <v>3394</v>
      </c>
      <c r="L128" s="5">
        <v>600</v>
      </c>
      <c r="M128" s="1" t="s">
        <v>2308</v>
      </c>
      <c r="N128" s="1" t="s">
        <v>3403</v>
      </c>
      <c r="O128" s="1" t="s">
        <v>2521</v>
      </c>
      <c r="P128" s="1" t="s">
        <v>3956</v>
      </c>
      <c r="Q128" s="1" t="s">
        <v>4911</v>
      </c>
      <c r="R128" s="1" t="s">
        <v>4081</v>
      </c>
      <c r="S128" s="1" t="s">
        <v>4937</v>
      </c>
      <c r="T128" s="6">
        <v>44593</v>
      </c>
      <c r="U128" s="6">
        <v>44600</v>
      </c>
      <c r="V128" s="7">
        <v>0.66666666666666663</v>
      </c>
      <c r="W128" s="6">
        <v>44607</v>
      </c>
      <c r="X128" s="7">
        <v>0.375</v>
      </c>
      <c r="Y128" s="1" t="s">
        <v>4860</v>
      </c>
      <c r="Z128" s="5">
        <v>340</v>
      </c>
      <c r="AA128" s="1" t="s">
        <v>3403</v>
      </c>
      <c r="AB128" s="1"/>
      <c r="AC128" s="1"/>
      <c r="AD128" s="1"/>
      <c r="AE128" s="1" t="s">
        <v>3799</v>
      </c>
      <c r="AF128" s="1" t="s">
        <v>9</v>
      </c>
      <c r="AG128" s="4">
        <v>217</v>
      </c>
      <c r="AH128" s="1"/>
      <c r="AI128" s="6">
        <v>44926</v>
      </c>
    </row>
    <row r="129" spans="1:35" x14ac:dyDescent="0.3">
      <c r="A129" s="1" t="s">
        <v>2272</v>
      </c>
      <c r="B129" s="2" t="str">
        <f>HYPERLINK("https://my.zakupki.prom.ua/remote/dispatcher/state_purchase_view/34696283")</f>
        <v>https://my.zakupki.prom.ua/remote/dispatcher/state_purchase_view/34696283</v>
      </c>
      <c r="C129" s="1" t="s">
        <v>2638</v>
      </c>
      <c r="D129" s="1" t="s">
        <v>447</v>
      </c>
      <c r="E129" s="1" t="s">
        <v>4903</v>
      </c>
      <c r="F129" s="1" t="s">
        <v>4903</v>
      </c>
      <c r="G129" s="1" t="s">
        <v>4903</v>
      </c>
      <c r="H129" s="1" t="s">
        <v>644</v>
      </c>
      <c r="I129" s="1" t="s">
        <v>2567</v>
      </c>
      <c r="J129" s="5">
        <v>199882</v>
      </c>
      <c r="K129" s="1" t="s">
        <v>3394</v>
      </c>
      <c r="L129" s="5">
        <v>1998.82</v>
      </c>
      <c r="M129" s="1" t="s">
        <v>2308</v>
      </c>
      <c r="N129" s="1" t="s">
        <v>3983</v>
      </c>
      <c r="O129" s="1" t="s">
        <v>2521</v>
      </c>
      <c r="P129" s="1" t="s">
        <v>3956</v>
      </c>
      <c r="Q129" s="1" t="s">
        <v>3238</v>
      </c>
      <c r="R129" s="1" t="s">
        <v>4070</v>
      </c>
      <c r="S129" s="1" t="s">
        <v>4937</v>
      </c>
      <c r="T129" s="6">
        <v>44593</v>
      </c>
      <c r="U129" s="6">
        <v>44599</v>
      </c>
      <c r="V129" s="7">
        <v>0</v>
      </c>
      <c r="W129" s="6">
        <v>44602</v>
      </c>
      <c r="X129" s="7">
        <v>0</v>
      </c>
      <c r="Y129" s="1" t="s">
        <v>4860</v>
      </c>
      <c r="Z129" s="5">
        <v>340</v>
      </c>
      <c r="AA129" s="1" t="s">
        <v>3403</v>
      </c>
      <c r="AB129" s="1"/>
      <c r="AC129" s="1"/>
      <c r="AD129" s="1"/>
      <c r="AE129" s="1" t="s">
        <v>3799</v>
      </c>
      <c r="AF129" s="1" t="s">
        <v>9</v>
      </c>
      <c r="AG129" s="1" t="s">
        <v>9</v>
      </c>
      <c r="AH129" s="1"/>
      <c r="AI129" s="6">
        <v>44926</v>
      </c>
    </row>
    <row r="130" spans="1:35" x14ac:dyDescent="0.3">
      <c r="A130" s="1" t="s">
        <v>2270</v>
      </c>
      <c r="B130" s="2" t="str">
        <f>HYPERLINK("https://my.zakupki.prom.ua/remote/dispatcher/state_purchase_view/34695625")</f>
        <v>https://my.zakupki.prom.ua/remote/dispatcher/state_purchase_view/34695625</v>
      </c>
      <c r="C130" s="1" t="s">
        <v>3481</v>
      </c>
      <c r="D130" s="1" t="s">
        <v>697</v>
      </c>
      <c r="E130" s="4">
        <v>300</v>
      </c>
      <c r="F130" s="5">
        <v>180</v>
      </c>
      <c r="G130" s="1" t="s">
        <v>4935</v>
      </c>
      <c r="H130" s="1" t="s">
        <v>268</v>
      </c>
      <c r="I130" s="1" t="s">
        <v>3142</v>
      </c>
      <c r="J130" s="5">
        <v>54000</v>
      </c>
      <c r="K130" s="1" t="s">
        <v>3394</v>
      </c>
      <c r="L130" s="5">
        <v>270</v>
      </c>
      <c r="M130" s="1" t="s">
        <v>2308</v>
      </c>
      <c r="N130" s="1" t="s">
        <v>3983</v>
      </c>
      <c r="O130" s="1" t="s">
        <v>2521</v>
      </c>
      <c r="P130" s="1" t="s">
        <v>3956</v>
      </c>
      <c r="Q130" s="1" t="s">
        <v>4805</v>
      </c>
      <c r="R130" s="1" t="s">
        <v>4261</v>
      </c>
      <c r="S130" s="1" t="s">
        <v>4937</v>
      </c>
      <c r="T130" s="6">
        <v>44593</v>
      </c>
      <c r="U130" s="6">
        <v>44599</v>
      </c>
      <c r="V130" s="7">
        <v>0</v>
      </c>
      <c r="W130" s="6">
        <v>44603</v>
      </c>
      <c r="X130" s="7">
        <v>0</v>
      </c>
      <c r="Y130" s="1" t="s">
        <v>4860</v>
      </c>
      <c r="Z130" s="5">
        <v>340</v>
      </c>
      <c r="AA130" s="1" t="s">
        <v>3403</v>
      </c>
      <c r="AB130" s="1"/>
      <c r="AC130" s="1"/>
      <c r="AD130" s="1"/>
      <c r="AE130" s="1" t="s">
        <v>3782</v>
      </c>
      <c r="AF130" s="1" t="s">
        <v>9</v>
      </c>
      <c r="AG130" s="4">
        <v>1</v>
      </c>
      <c r="AH130" s="1"/>
      <c r="AI130" s="6">
        <v>44926</v>
      </c>
    </row>
    <row r="131" spans="1:35" x14ac:dyDescent="0.3">
      <c r="A131" s="1" t="s">
        <v>2268</v>
      </c>
      <c r="B131" s="2" t="str">
        <f>HYPERLINK("https://my.zakupki.prom.ua/remote/dispatcher/state_purchase_view/34696224")</f>
        <v>https://my.zakupki.prom.ua/remote/dispatcher/state_purchase_view/34696224</v>
      </c>
      <c r="C131" s="1" t="s">
        <v>2313</v>
      </c>
      <c r="D131" s="1" t="s">
        <v>369</v>
      </c>
      <c r="E131" s="1" t="s">
        <v>4903</v>
      </c>
      <c r="F131" s="1" t="s">
        <v>4903</v>
      </c>
      <c r="G131" s="1" t="s">
        <v>4903</v>
      </c>
      <c r="H131" s="1" t="s">
        <v>600</v>
      </c>
      <c r="I131" s="1" t="s">
        <v>3206</v>
      </c>
      <c r="J131" s="5">
        <v>255000</v>
      </c>
      <c r="K131" s="1" t="s">
        <v>3394</v>
      </c>
      <c r="L131" s="5">
        <v>2550</v>
      </c>
      <c r="M131" s="1" t="s">
        <v>2308</v>
      </c>
      <c r="N131" s="1" t="s">
        <v>3983</v>
      </c>
      <c r="O131" s="1" t="s">
        <v>2521</v>
      </c>
      <c r="P131" s="1" t="s">
        <v>2515</v>
      </c>
      <c r="Q131" s="1" t="s">
        <v>3238</v>
      </c>
      <c r="R131" s="1" t="s">
        <v>4204</v>
      </c>
      <c r="S131" s="1" t="s">
        <v>4971</v>
      </c>
      <c r="T131" s="6">
        <v>44593</v>
      </c>
      <c r="U131" s="6">
        <v>44593</v>
      </c>
      <c r="V131" s="7">
        <v>0.6061738563310185</v>
      </c>
      <c r="W131" s="6">
        <v>44609</v>
      </c>
      <c r="X131" s="7">
        <v>0.625</v>
      </c>
      <c r="Y131" s="8">
        <v>44610.502453703702</v>
      </c>
      <c r="Z131" s="5">
        <v>510</v>
      </c>
      <c r="AA131" s="1" t="s">
        <v>3403</v>
      </c>
      <c r="AB131" s="1"/>
      <c r="AC131" s="1"/>
      <c r="AD131" s="1"/>
      <c r="AE131" s="1" t="s">
        <v>3782</v>
      </c>
      <c r="AF131" s="1" t="s">
        <v>9</v>
      </c>
      <c r="AG131" s="4">
        <v>4</v>
      </c>
      <c r="AH131" s="6">
        <v>44621</v>
      </c>
      <c r="AI131" s="6">
        <v>44926</v>
      </c>
    </row>
    <row r="132" spans="1:35" x14ac:dyDescent="0.3">
      <c r="A132" s="1" t="s">
        <v>2267</v>
      </c>
      <c r="B132" s="2" t="str">
        <f>HYPERLINK("https://my.zakupki.prom.ua/remote/dispatcher/state_purchase_view/34696192")</f>
        <v>https://my.zakupki.prom.ua/remote/dispatcher/state_purchase_view/34696192</v>
      </c>
      <c r="C132" s="1" t="s">
        <v>4763</v>
      </c>
      <c r="D132" s="1" t="s">
        <v>789</v>
      </c>
      <c r="E132" s="1" t="s">
        <v>4903</v>
      </c>
      <c r="F132" s="1" t="s">
        <v>4903</v>
      </c>
      <c r="G132" s="1" t="s">
        <v>4903</v>
      </c>
      <c r="H132" s="1" t="s">
        <v>1038</v>
      </c>
      <c r="I132" s="1" t="s">
        <v>2936</v>
      </c>
      <c r="J132" s="5">
        <v>856293</v>
      </c>
      <c r="K132" s="1" t="s">
        <v>3394</v>
      </c>
      <c r="L132" s="5">
        <v>4281.47</v>
      </c>
      <c r="M132" s="1" t="s">
        <v>2308</v>
      </c>
      <c r="N132" s="1" t="s">
        <v>3983</v>
      </c>
      <c r="O132" s="1" t="s">
        <v>2521</v>
      </c>
      <c r="P132" s="1" t="s">
        <v>2515</v>
      </c>
      <c r="Q132" s="1" t="s">
        <v>2796</v>
      </c>
      <c r="R132" s="1" t="s">
        <v>4390</v>
      </c>
      <c r="S132" s="1" t="s">
        <v>4971</v>
      </c>
      <c r="T132" s="6">
        <v>44593</v>
      </c>
      <c r="U132" s="6">
        <v>44593</v>
      </c>
      <c r="V132" s="7">
        <v>0.6057532954513889</v>
      </c>
      <c r="W132" s="6">
        <v>44609</v>
      </c>
      <c r="X132" s="7">
        <v>0</v>
      </c>
      <c r="Y132" s="8">
        <v>44609.621990740743</v>
      </c>
      <c r="Z132" s="5">
        <v>510</v>
      </c>
      <c r="AA132" s="1" t="s">
        <v>3403</v>
      </c>
      <c r="AB132" s="1"/>
      <c r="AC132" s="1"/>
      <c r="AD132" s="1"/>
      <c r="AE132" s="1" t="s">
        <v>3788</v>
      </c>
      <c r="AF132" s="1" t="s">
        <v>9</v>
      </c>
      <c r="AG132" s="4">
        <v>2</v>
      </c>
      <c r="AH132" s="6">
        <v>44620</v>
      </c>
      <c r="AI132" s="6">
        <v>44926</v>
      </c>
    </row>
    <row r="133" spans="1:35" x14ac:dyDescent="0.3">
      <c r="A133" s="1" t="s">
        <v>2266</v>
      </c>
      <c r="B133" s="2" t="str">
        <f>HYPERLINK("https://my.zakupki.prom.ua/remote/dispatcher/state_purchase_view/34696165")</f>
        <v>https://my.zakupki.prom.ua/remote/dispatcher/state_purchase_view/34696165</v>
      </c>
      <c r="C133" s="1" t="s">
        <v>3960</v>
      </c>
      <c r="D133" s="1" t="s">
        <v>848</v>
      </c>
      <c r="E133" s="4">
        <v>26</v>
      </c>
      <c r="F133" s="5">
        <v>1384.62</v>
      </c>
      <c r="G133" s="1" t="s">
        <v>4924</v>
      </c>
      <c r="H133" s="1" t="s">
        <v>1028</v>
      </c>
      <c r="I133" s="1" t="s">
        <v>2915</v>
      </c>
      <c r="J133" s="5">
        <v>36000</v>
      </c>
      <c r="K133" s="1" t="s">
        <v>3394</v>
      </c>
      <c r="L133" s="5">
        <v>360</v>
      </c>
      <c r="M133" s="1" t="s">
        <v>2308</v>
      </c>
      <c r="N133" s="1" t="s">
        <v>3983</v>
      </c>
      <c r="O133" s="1" t="s">
        <v>2521</v>
      </c>
      <c r="P133" s="1" t="s">
        <v>3956</v>
      </c>
      <c r="Q133" s="1" t="s">
        <v>2761</v>
      </c>
      <c r="R133" s="1" t="s">
        <v>4039</v>
      </c>
      <c r="S133" s="1" t="s">
        <v>4937</v>
      </c>
      <c r="T133" s="6">
        <v>44593</v>
      </c>
      <c r="U133" s="6">
        <v>44601</v>
      </c>
      <c r="V133" s="7">
        <v>0.60416666666666663</v>
      </c>
      <c r="W133" s="6">
        <v>44607</v>
      </c>
      <c r="X133" s="7">
        <v>0.60486111111111107</v>
      </c>
      <c r="Y133" s="1" t="s">
        <v>4860</v>
      </c>
      <c r="Z133" s="5">
        <v>119</v>
      </c>
      <c r="AA133" s="1" t="s">
        <v>3403</v>
      </c>
      <c r="AB133" s="1"/>
      <c r="AC133" s="1"/>
      <c r="AD133" s="1"/>
      <c r="AE133" s="1" t="s">
        <v>3787</v>
      </c>
      <c r="AF133" s="1" t="s">
        <v>9</v>
      </c>
      <c r="AG133" s="1" t="s">
        <v>9</v>
      </c>
      <c r="AH133" s="1"/>
      <c r="AI133" s="6">
        <v>44641</v>
      </c>
    </row>
    <row r="134" spans="1:35" x14ac:dyDescent="0.3">
      <c r="A134" s="1" t="s">
        <v>1514</v>
      </c>
      <c r="B134" s="2" t="str">
        <f>HYPERLINK("https://my.zakupki.prom.ua/remote/dispatcher/state_purchase_view/34696156")</f>
        <v>https://my.zakupki.prom.ua/remote/dispatcher/state_purchase_view/34696156</v>
      </c>
      <c r="C134" s="1" t="s">
        <v>3627</v>
      </c>
      <c r="D134" s="1" t="s">
        <v>1171</v>
      </c>
      <c r="E134" s="4">
        <v>352</v>
      </c>
      <c r="F134" s="5">
        <v>2573.86</v>
      </c>
      <c r="G134" s="1" t="s">
        <v>4940</v>
      </c>
      <c r="H134" s="1" t="s">
        <v>882</v>
      </c>
      <c r="I134" s="1" t="s">
        <v>4746</v>
      </c>
      <c r="J134" s="5">
        <v>906000</v>
      </c>
      <c r="K134" s="1" t="s">
        <v>3394</v>
      </c>
      <c r="L134" s="5">
        <v>4530</v>
      </c>
      <c r="M134" s="1" t="s">
        <v>2308</v>
      </c>
      <c r="N134" s="1" t="s">
        <v>3983</v>
      </c>
      <c r="O134" s="1" t="s">
        <v>2521</v>
      </c>
      <c r="P134" s="1" t="s">
        <v>2515</v>
      </c>
      <c r="Q134" s="1" t="s">
        <v>3035</v>
      </c>
      <c r="R134" s="1" t="s">
        <v>4597</v>
      </c>
      <c r="S134" s="1" t="s">
        <v>4971</v>
      </c>
      <c r="T134" s="6">
        <v>44593</v>
      </c>
      <c r="U134" s="6">
        <v>44593</v>
      </c>
      <c r="V134" s="7">
        <v>0.5948542951736111</v>
      </c>
      <c r="W134" s="6">
        <v>44609</v>
      </c>
      <c r="X134" s="7">
        <v>0.41666666666666669</v>
      </c>
      <c r="Y134" s="8">
        <v>44610.483506944445</v>
      </c>
      <c r="Z134" s="5">
        <v>510</v>
      </c>
      <c r="AA134" s="1" t="s">
        <v>3403</v>
      </c>
      <c r="AB134" s="1"/>
      <c r="AC134" s="1"/>
      <c r="AD134" s="1"/>
      <c r="AE134" s="1" t="s">
        <v>3755</v>
      </c>
      <c r="AF134" s="1" t="s">
        <v>9</v>
      </c>
      <c r="AG134" s="4">
        <v>29</v>
      </c>
      <c r="AH134" s="1"/>
      <c r="AI134" s="6">
        <v>44926</v>
      </c>
    </row>
    <row r="135" spans="1:35" x14ac:dyDescent="0.3">
      <c r="A135" s="1" t="s">
        <v>1872</v>
      </c>
      <c r="B135" s="2" t="str">
        <f>HYPERLINK("https://my.zakupki.prom.ua/remote/dispatcher/state_purchase_view/34696154")</f>
        <v>https://my.zakupki.prom.ua/remote/dispatcher/state_purchase_view/34696154</v>
      </c>
      <c r="C135" s="1" t="s">
        <v>3384</v>
      </c>
      <c r="D135" s="1" t="s">
        <v>373</v>
      </c>
      <c r="E135" s="1" t="s">
        <v>4903</v>
      </c>
      <c r="F135" s="1" t="s">
        <v>4903</v>
      </c>
      <c r="G135" s="1" t="s">
        <v>4903</v>
      </c>
      <c r="H135" s="1" t="s">
        <v>164</v>
      </c>
      <c r="I135" s="1" t="s">
        <v>3823</v>
      </c>
      <c r="J135" s="5">
        <v>100000</v>
      </c>
      <c r="K135" s="1" t="s">
        <v>3394</v>
      </c>
      <c r="L135" s="5">
        <v>1000</v>
      </c>
      <c r="M135" s="1" t="s">
        <v>2308</v>
      </c>
      <c r="N135" s="1" t="s">
        <v>3983</v>
      </c>
      <c r="O135" s="1" t="s">
        <v>2521</v>
      </c>
      <c r="P135" s="1" t="s">
        <v>3956</v>
      </c>
      <c r="Q135" s="1" t="s">
        <v>3878</v>
      </c>
      <c r="R135" s="1" t="s">
        <v>4576</v>
      </c>
      <c r="S135" s="1" t="s">
        <v>4937</v>
      </c>
      <c r="T135" s="6">
        <v>44593</v>
      </c>
      <c r="U135" s="6">
        <v>44599</v>
      </c>
      <c r="V135" s="7">
        <v>0</v>
      </c>
      <c r="W135" s="6">
        <v>44602</v>
      </c>
      <c r="X135" s="7">
        <v>0</v>
      </c>
      <c r="Y135" s="1" t="s">
        <v>4860</v>
      </c>
      <c r="Z135" s="5">
        <v>340</v>
      </c>
      <c r="AA135" s="1" t="s">
        <v>3403</v>
      </c>
      <c r="AB135" s="1"/>
      <c r="AC135" s="1"/>
      <c r="AD135" s="1"/>
      <c r="AE135" s="1" t="s">
        <v>3801</v>
      </c>
      <c r="AF135" s="1" t="s">
        <v>9</v>
      </c>
      <c r="AG135" s="1" t="s">
        <v>9</v>
      </c>
      <c r="AH135" s="1"/>
      <c r="AI135" s="6">
        <v>44926</v>
      </c>
    </row>
    <row r="136" spans="1:35" x14ac:dyDescent="0.3">
      <c r="A136" s="1" t="s">
        <v>1852</v>
      </c>
      <c r="B136" s="2" t="str">
        <f>HYPERLINK("https://my.zakupki.prom.ua/remote/dispatcher/state_purchase_view/34696151")</f>
        <v>https://my.zakupki.prom.ua/remote/dispatcher/state_purchase_view/34696151</v>
      </c>
      <c r="C136" s="1" t="s">
        <v>3510</v>
      </c>
      <c r="D136" s="1" t="s">
        <v>1168</v>
      </c>
      <c r="E136" s="4">
        <v>11</v>
      </c>
      <c r="F136" s="5">
        <v>9000</v>
      </c>
      <c r="G136" s="1" t="s">
        <v>4940</v>
      </c>
      <c r="H136" s="1" t="s">
        <v>275</v>
      </c>
      <c r="I136" s="1" t="s">
        <v>3950</v>
      </c>
      <c r="J136" s="5">
        <v>99000</v>
      </c>
      <c r="K136" s="1" t="s">
        <v>3394</v>
      </c>
      <c r="L136" s="5">
        <v>495</v>
      </c>
      <c r="M136" s="1" t="s">
        <v>2308</v>
      </c>
      <c r="N136" s="1" t="s">
        <v>3983</v>
      </c>
      <c r="O136" s="1" t="s">
        <v>2521</v>
      </c>
      <c r="P136" s="1" t="s">
        <v>3956</v>
      </c>
      <c r="Q136" s="1" t="s">
        <v>4911</v>
      </c>
      <c r="R136" s="1" t="s">
        <v>4382</v>
      </c>
      <c r="S136" s="1" t="s">
        <v>4937</v>
      </c>
      <c r="T136" s="6">
        <v>44593</v>
      </c>
      <c r="U136" s="6">
        <v>44597</v>
      </c>
      <c r="V136" s="7">
        <v>0.33333333333333331</v>
      </c>
      <c r="W136" s="6">
        <v>44602</v>
      </c>
      <c r="X136" s="7">
        <v>0.33333333333333331</v>
      </c>
      <c r="Y136" s="1" t="s">
        <v>4860</v>
      </c>
      <c r="Z136" s="5">
        <v>340</v>
      </c>
      <c r="AA136" s="1" t="s">
        <v>3403</v>
      </c>
      <c r="AB136" s="1"/>
      <c r="AC136" s="1"/>
      <c r="AD136" s="1"/>
      <c r="AE136" s="1" t="s">
        <v>3741</v>
      </c>
      <c r="AF136" s="1" t="s">
        <v>9</v>
      </c>
      <c r="AG136" s="4">
        <v>2</v>
      </c>
      <c r="AH136" s="1"/>
      <c r="AI136" s="6">
        <v>44926</v>
      </c>
    </row>
    <row r="137" spans="1:35" x14ac:dyDescent="0.3">
      <c r="A137" s="1" t="s">
        <v>1864</v>
      </c>
      <c r="B137" s="2" t="str">
        <f>HYPERLINK("https://my.zakupki.prom.ua/remote/dispatcher/state_purchase_view/34696141")</f>
        <v>https://my.zakupki.prom.ua/remote/dispatcher/state_purchase_view/34696141</v>
      </c>
      <c r="C137" s="1" t="s">
        <v>2599</v>
      </c>
      <c r="D137" s="1" t="s">
        <v>502</v>
      </c>
      <c r="E137" s="1" t="s">
        <v>4903</v>
      </c>
      <c r="F137" s="1" t="s">
        <v>4903</v>
      </c>
      <c r="G137" s="1" t="s">
        <v>4903</v>
      </c>
      <c r="H137" s="1" t="s">
        <v>194</v>
      </c>
      <c r="I137" s="1" t="s">
        <v>3329</v>
      </c>
      <c r="J137" s="5">
        <v>75055</v>
      </c>
      <c r="K137" s="1" t="s">
        <v>3394</v>
      </c>
      <c r="L137" s="5">
        <v>375.28</v>
      </c>
      <c r="M137" s="1" t="s">
        <v>2308</v>
      </c>
      <c r="N137" s="1" t="s">
        <v>3403</v>
      </c>
      <c r="O137" s="1" t="s">
        <v>2521</v>
      </c>
      <c r="P137" s="1" t="s">
        <v>3956</v>
      </c>
      <c r="Q137" s="1" t="s">
        <v>4831</v>
      </c>
      <c r="R137" s="1" t="s">
        <v>4320</v>
      </c>
      <c r="S137" s="1" t="s">
        <v>4937</v>
      </c>
      <c r="T137" s="6">
        <v>44593</v>
      </c>
      <c r="U137" s="6">
        <v>44599</v>
      </c>
      <c r="V137" s="7">
        <v>0</v>
      </c>
      <c r="W137" s="6">
        <v>44602</v>
      </c>
      <c r="X137" s="7">
        <v>0</v>
      </c>
      <c r="Y137" s="1" t="s">
        <v>4860</v>
      </c>
      <c r="Z137" s="5">
        <v>340</v>
      </c>
      <c r="AA137" s="1" t="s">
        <v>3403</v>
      </c>
      <c r="AB137" s="1"/>
      <c r="AC137" s="1"/>
      <c r="AD137" s="1"/>
      <c r="AE137" s="1" t="s">
        <v>3765</v>
      </c>
      <c r="AF137" s="1" t="s">
        <v>9</v>
      </c>
      <c r="AG137" s="4">
        <v>9</v>
      </c>
      <c r="AH137" s="1"/>
      <c r="AI137" s="6">
        <v>44926</v>
      </c>
    </row>
    <row r="138" spans="1:35" x14ac:dyDescent="0.3">
      <c r="A138" s="1" t="s">
        <v>1818</v>
      </c>
      <c r="B138" s="2" t="str">
        <f>HYPERLINK("https://my.zakupki.prom.ua/remote/dispatcher/state_purchase_view/34696139")</f>
        <v>https://my.zakupki.prom.ua/remote/dispatcher/state_purchase_view/34696139</v>
      </c>
      <c r="C138" s="1" t="s">
        <v>3962</v>
      </c>
      <c r="D138" s="1" t="s">
        <v>775</v>
      </c>
      <c r="E138" s="1" t="s">
        <v>4903</v>
      </c>
      <c r="F138" s="1" t="s">
        <v>4903</v>
      </c>
      <c r="G138" s="1" t="s">
        <v>4903</v>
      </c>
      <c r="H138" s="1" t="s">
        <v>558</v>
      </c>
      <c r="I138" s="1" t="s">
        <v>3153</v>
      </c>
      <c r="J138" s="5">
        <v>284000</v>
      </c>
      <c r="K138" s="1" t="s">
        <v>3394</v>
      </c>
      <c r="L138" s="5">
        <v>1420</v>
      </c>
      <c r="M138" s="1" t="s">
        <v>2308</v>
      </c>
      <c r="N138" s="1" t="s">
        <v>3983</v>
      </c>
      <c r="O138" s="1" t="s">
        <v>2521</v>
      </c>
      <c r="P138" s="1" t="s">
        <v>2515</v>
      </c>
      <c r="Q138" s="1" t="s">
        <v>3970</v>
      </c>
      <c r="R138" s="1" t="s">
        <v>4328</v>
      </c>
      <c r="S138" s="1" t="s">
        <v>4971</v>
      </c>
      <c r="T138" s="6">
        <v>44593</v>
      </c>
      <c r="U138" s="6">
        <v>44593</v>
      </c>
      <c r="V138" s="7">
        <v>0.59044146643518514</v>
      </c>
      <c r="W138" s="6">
        <v>44609</v>
      </c>
      <c r="X138" s="7">
        <v>0.59388888888888891</v>
      </c>
      <c r="Y138" s="8">
        <v>44610.621516203704</v>
      </c>
      <c r="Z138" s="5">
        <v>510</v>
      </c>
      <c r="AA138" s="1" t="s">
        <v>3403</v>
      </c>
      <c r="AB138" s="1"/>
      <c r="AC138" s="1"/>
      <c r="AD138" s="1"/>
      <c r="AE138" s="1" t="s">
        <v>3787</v>
      </c>
      <c r="AF138" s="1" t="s">
        <v>9</v>
      </c>
      <c r="AG138" s="4">
        <v>1</v>
      </c>
      <c r="AH138" s="1"/>
      <c r="AI138" s="6">
        <v>44926</v>
      </c>
    </row>
    <row r="139" spans="1:35" x14ac:dyDescent="0.3">
      <c r="A139" s="1" t="s">
        <v>1528</v>
      </c>
      <c r="B139" s="2" t="str">
        <f>HYPERLINK("https://my.zakupki.prom.ua/remote/dispatcher/state_purchase_view/34696134")</f>
        <v>https://my.zakupki.prom.ua/remote/dispatcher/state_purchase_view/34696134</v>
      </c>
      <c r="C139" s="1" t="s">
        <v>3859</v>
      </c>
      <c r="D139" s="1" t="s">
        <v>454</v>
      </c>
      <c r="E139" s="4">
        <v>4523</v>
      </c>
      <c r="F139" s="5">
        <v>85.91</v>
      </c>
      <c r="G139" s="1" t="s">
        <v>4883</v>
      </c>
      <c r="H139" s="1" t="s">
        <v>948</v>
      </c>
      <c r="I139" s="1" t="s">
        <v>2495</v>
      </c>
      <c r="J139" s="5">
        <v>388580</v>
      </c>
      <c r="K139" s="1" t="s">
        <v>3394</v>
      </c>
      <c r="L139" s="5">
        <v>2000</v>
      </c>
      <c r="M139" s="1" t="s">
        <v>2308</v>
      </c>
      <c r="N139" s="1" t="s">
        <v>3983</v>
      </c>
      <c r="O139" s="1" t="s">
        <v>2521</v>
      </c>
      <c r="P139" s="1" t="s">
        <v>2515</v>
      </c>
      <c r="Q139" s="1" t="s">
        <v>2528</v>
      </c>
      <c r="R139" s="1" t="s">
        <v>4562</v>
      </c>
      <c r="S139" s="1" t="s">
        <v>4971</v>
      </c>
      <c r="T139" s="6">
        <v>44593</v>
      </c>
      <c r="U139" s="6">
        <v>44593</v>
      </c>
      <c r="V139" s="7">
        <v>0.60121680505787034</v>
      </c>
      <c r="W139" s="6">
        <v>44609</v>
      </c>
      <c r="X139" s="7">
        <v>0.41666666666666669</v>
      </c>
      <c r="Y139" s="8">
        <v>44610.503287037034</v>
      </c>
      <c r="Z139" s="5">
        <v>510</v>
      </c>
      <c r="AA139" s="1" t="s">
        <v>3403</v>
      </c>
      <c r="AB139" s="1"/>
      <c r="AC139" s="1"/>
      <c r="AD139" s="1"/>
      <c r="AE139" s="1" t="s">
        <v>3787</v>
      </c>
      <c r="AF139" s="1" t="s">
        <v>9</v>
      </c>
      <c r="AG139" s="4">
        <v>5</v>
      </c>
      <c r="AH139" s="1"/>
      <c r="AI139" s="6">
        <v>44926</v>
      </c>
    </row>
    <row r="140" spans="1:35" x14ac:dyDescent="0.3">
      <c r="A140" s="1" t="s">
        <v>1868</v>
      </c>
      <c r="B140" s="2" t="str">
        <f>HYPERLINK("https://my.zakupki.prom.ua/remote/dispatcher/state_purchase_view/34696129")</f>
        <v>https://my.zakupki.prom.ua/remote/dispatcher/state_purchase_view/34696129</v>
      </c>
      <c r="C140" s="1" t="s">
        <v>4889</v>
      </c>
      <c r="D140" s="1" t="s">
        <v>213</v>
      </c>
      <c r="E140" s="1" t="s">
        <v>4903</v>
      </c>
      <c r="F140" s="1" t="s">
        <v>4903</v>
      </c>
      <c r="G140" s="1" t="s">
        <v>4903</v>
      </c>
      <c r="H140" s="1" t="s">
        <v>889</v>
      </c>
      <c r="I140" s="1" t="s">
        <v>4743</v>
      </c>
      <c r="J140" s="5">
        <v>198558.33</v>
      </c>
      <c r="K140" s="1" t="s">
        <v>3394</v>
      </c>
      <c r="L140" s="5">
        <v>992.79</v>
      </c>
      <c r="M140" s="1" t="s">
        <v>2308</v>
      </c>
      <c r="N140" s="1" t="s">
        <v>3983</v>
      </c>
      <c r="O140" s="1" t="s">
        <v>1187</v>
      </c>
      <c r="P140" s="1" t="s">
        <v>3956</v>
      </c>
      <c r="Q140" s="1" t="s">
        <v>3035</v>
      </c>
      <c r="R140" s="1" t="s">
        <v>4081</v>
      </c>
      <c r="S140" s="1" t="s">
        <v>4937</v>
      </c>
      <c r="T140" s="6">
        <v>44593</v>
      </c>
      <c r="U140" s="6">
        <v>44599</v>
      </c>
      <c r="V140" s="7">
        <v>0</v>
      </c>
      <c r="W140" s="6">
        <v>44602</v>
      </c>
      <c r="X140" s="7">
        <v>0</v>
      </c>
      <c r="Y140" s="1" t="s">
        <v>4860</v>
      </c>
      <c r="Z140" s="5">
        <v>340</v>
      </c>
      <c r="AA140" s="1" t="s">
        <v>3403</v>
      </c>
      <c r="AB140" s="1"/>
      <c r="AC140" s="1"/>
      <c r="AD140" s="1"/>
      <c r="AE140" s="1" t="s">
        <v>3787</v>
      </c>
      <c r="AF140" s="1" t="s">
        <v>9</v>
      </c>
      <c r="AG140" s="4">
        <v>232</v>
      </c>
      <c r="AH140" s="1"/>
      <c r="AI140" s="6">
        <v>44926</v>
      </c>
    </row>
    <row r="141" spans="1:35" x14ac:dyDescent="0.3">
      <c r="A141" s="1" t="s">
        <v>1869</v>
      </c>
      <c r="B141" s="2" t="str">
        <f>HYPERLINK("https://my.zakupki.prom.ua/remote/dispatcher/state_purchase_view/34696126")</f>
        <v>https://my.zakupki.prom.ua/remote/dispatcher/state_purchase_view/34696126</v>
      </c>
      <c r="C141" s="1" t="s">
        <v>3575</v>
      </c>
      <c r="D141" s="1" t="s">
        <v>1168</v>
      </c>
      <c r="E141" s="4">
        <v>1</v>
      </c>
      <c r="F141" s="5">
        <v>73000</v>
      </c>
      <c r="G141" s="1" t="s">
        <v>4940</v>
      </c>
      <c r="H141" s="1" t="s">
        <v>342</v>
      </c>
      <c r="I141" s="1" t="s">
        <v>3985</v>
      </c>
      <c r="J141" s="5">
        <v>73000</v>
      </c>
      <c r="K141" s="1" t="s">
        <v>3394</v>
      </c>
      <c r="L141" s="5">
        <v>730</v>
      </c>
      <c r="M141" s="1" t="s">
        <v>2308</v>
      </c>
      <c r="N141" s="1" t="s">
        <v>3983</v>
      </c>
      <c r="O141" s="1" t="s">
        <v>2521</v>
      </c>
      <c r="P141" s="1" t="s">
        <v>3956</v>
      </c>
      <c r="Q141" s="1" t="s">
        <v>3035</v>
      </c>
      <c r="R141" s="1" t="s">
        <v>4156</v>
      </c>
      <c r="S141" s="1" t="s">
        <v>4937</v>
      </c>
      <c r="T141" s="6">
        <v>44593</v>
      </c>
      <c r="U141" s="6">
        <v>44599</v>
      </c>
      <c r="V141" s="7">
        <v>0</v>
      </c>
      <c r="W141" s="6">
        <v>44602</v>
      </c>
      <c r="X141" s="7">
        <v>0</v>
      </c>
      <c r="Y141" s="1" t="s">
        <v>4860</v>
      </c>
      <c r="Z141" s="5">
        <v>340</v>
      </c>
      <c r="AA141" s="1" t="s">
        <v>3403</v>
      </c>
      <c r="AB141" s="1"/>
      <c r="AC141" s="1"/>
      <c r="AD141" s="1"/>
      <c r="AE141" s="1" t="s">
        <v>3756</v>
      </c>
      <c r="AF141" s="1" t="s">
        <v>9</v>
      </c>
      <c r="AG141" s="4">
        <v>8</v>
      </c>
      <c r="AH141" s="6">
        <v>44621</v>
      </c>
      <c r="AI141" s="6">
        <v>44926</v>
      </c>
    </row>
    <row r="142" spans="1:35" x14ac:dyDescent="0.3">
      <c r="A142" s="1" t="s">
        <v>2264</v>
      </c>
      <c r="B142" s="2" t="str">
        <f>HYPERLINK("https://my.zakupki.prom.ua/remote/dispatcher/state_purchase_view/34696104")</f>
        <v>https://my.zakupki.prom.ua/remote/dispatcher/state_purchase_view/34696104</v>
      </c>
      <c r="C142" s="1" t="s">
        <v>4992</v>
      </c>
      <c r="D142" s="1" t="s">
        <v>174</v>
      </c>
      <c r="E142" s="4">
        <v>17891</v>
      </c>
      <c r="F142" s="5">
        <v>4</v>
      </c>
      <c r="G142" s="1" t="s">
        <v>4991</v>
      </c>
      <c r="H142" s="1" t="s">
        <v>1068</v>
      </c>
      <c r="I142" s="1" t="s">
        <v>2503</v>
      </c>
      <c r="J142" s="5">
        <v>71565</v>
      </c>
      <c r="K142" s="1" t="s">
        <v>3394</v>
      </c>
      <c r="L142" s="5">
        <v>357.83</v>
      </c>
      <c r="M142" s="1" t="s">
        <v>2308</v>
      </c>
      <c r="N142" s="1" t="s">
        <v>3983</v>
      </c>
      <c r="O142" s="1" t="s">
        <v>2521</v>
      </c>
      <c r="P142" s="1" t="s">
        <v>3956</v>
      </c>
      <c r="Q142" s="1" t="s">
        <v>4831</v>
      </c>
      <c r="R142" s="1" t="s">
        <v>4620</v>
      </c>
      <c r="S142" s="1" t="s">
        <v>4937</v>
      </c>
      <c r="T142" s="6">
        <v>44593</v>
      </c>
      <c r="U142" s="6">
        <v>44599</v>
      </c>
      <c r="V142" s="7">
        <v>0.41666666666666669</v>
      </c>
      <c r="W142" s="6">
        <v>44602</v>
      </c>
      <c r="X142" s="7">
        <v>0</v>
      </c>
      <c r="Y142" s="1" t="s">
        <v>4860</v>
      </c>
      <c r="Z142" s="5">
        <v>340</v>
      </c>
      <c r="AA142" s="1" t="s">
        <v>3403</v>
      </c>
      <c r="AB142" s="1"/>
      <c r="AC142" s="1"/>
      <c r="AD142" s="1"/>
      <c r="AE142" s="1" t="s">
        <v>3774</v>
      </c>
      <c r="AF142" s="1" t="s">
        <v>9</v>
      </c>
      <c r="AG142" s="4">
        <v>2</v>
      </c>
      <c r="AH142" s="1"/>
      <c r="AI142" s="6">
        <v>44926</v>
      </c>
    </row>
    <row r="143" spans="1:35" x14ac:dyDescent="0.3">
      <c r="A143" s="1" t="s">
        <v>2263</v>
      </c>
      <c r="B143" s="2" t="str">
        <f>HYPERLINK("https://my.zakupki.prom.ua/remote/dispatcher/state_purchase_view/34696077")</f>
        <v>https://my.zakupki.prom.ua/remote/dispatcher/state_purchase_view/34696077</v>
      </c>
      <c r="C143" s="1" t="s">
        <v>2664</v>
      </c>
      <c r="D143" s="1" t="s">
        <v>213</v>
      </c>
      <c r="E143" s="1" t="s">
        <v>4903</v>
      </c>
      <c r="F143" s="1" t="s">
        <v>4903</v>
      </c>
      <c r="G143" s="1" t="s">
        <v>4903</v>
      </c>
      <c r="H143" s="1" t="s">
        <v>843</v>
      </c>
      <c r="I143" s="1" t="s">
        <v>2803</v>
      </c>
      <c r="J143" s="5">
        <v>139700</v>
      </c>
      <c r="K143" s="1" t="s">
        <v>3394</v>
      </c>
      <c r="L143" s="5">
        <v>1397</v>
      </c>
      <c r="M143" s="1" t="s">
        <v>2308</v>
      </c>
      <c r="N143" s="1" t="s">
        <v>3983</v>
      </c>
      <c r="O143" s="1" t="s">
        <v>2521</v>
      </c>
      <c r="P143" s="1" t="s">
        <v>3956</v>
      </c>
      <c r="Q143" s="1" t="s">
        <v>2808</v>
      </c>
      <c r="R143" s="1" t="s">
        <v>4232</v>
      </c>
      <c r="S143" s="1" t="s">
        <v>4937</v>
      </c>
      <c r="T143" s="6">
        <v>44593</v>
      </c>
      <c r="U143" s="6">
        <v>44599</v>
      </c>
      <c r="V143" s="7">
        <v>0</v>
      </c>
      <c r="W143" s="6">
        <v>44602</v>
      </c>
      <c r="X143" s="7">
        <v>0</v>
      </c>
      <c r="Y143" s="1" t="s">
        <v>4860</v>
      </c>
      <c r="Z143" s="5">
        <v>340</v>
      </c>
      <c r="AA143" s="1" t="s">
        <v>3403</v>
      </c>
      <c r="AB143" s="1"/>
      <c r="AC143" s="1"/>
      <c r="AD143" s="1"/>
      <c r="AE143" s="1" t="s">
        <v>3801</v>
      </c>
      <c r="AF143" s="1" t="s">
        <v>9</v>
      </c>
      <c r="AG143" s="1" t="s">
        <v>9</v>
      </c>
      <c r="AH143" s="1"/>
      <c r="AI143" s="6">
        <v>44926</v>
      </c>
    </row>
    <row r="144" spans="1:35" x14ac:dyDescent="0.3">
      <c r="A144" s="1" t="s">
        <v>2262</v>
      </c>
      <c r="B144" s="2" t="str">
        <f>HYPERLINK("https://my.zakupki.prom.ua/remote/dispatcher/state_purchase_view/34695343")</f>
        <v>https://my.zakupki.prom.ua/remote/dispatcher/state_purchase_view/34695343</v>
      </c>
      <c r="C144" s="1" t="s">
        <v>787</v>
      </c>
      <c r="D144" s="1" t="s">
        <v>789</v>
      </c>
      <c r="E144" s="1" t="s">
        <v>4903</v>
      </c>
      <c r="F144" s="1" t="s">
        <v>4903</v>
      </c>
      <c r="G144" s="1" t="s">
        <v>4903</v>
      </c>
      <c r="H144" s="1" t="s">
        <v>44</v>
      </c>
      <c r="I144" s="1" t="s">
        <v>3083</v>
      </c>
      <c r="J144" s="5">
        <v>294800</v>
      </c>
      <c r="K144" s="1" t="s">
        <v>3394</v>
      </c>
      <c r="L144" s="5">
        <v>1474</v>
      </c>
      <c r="M144" s="1" t="s">
        <v>2308</v>
      </c>
      <c r="N144" s="1" t="s">
        <v>3983</v>
      </c>
      <c r="O144" s="1" t="s">
        <v>2521</v>
      </c>
      <c r="P144" s="1" t="s">
        <v>2515</v>
      </c>
      <c r="Q144" s="1" t="s">
        <v>2528</v>
      </c>
      <c r="R144" s="1" t="s">
        <v>4474</v>
      </c>
      <c r="S144" s="1" t="s">
        <v>4971</v>
      </c>
      <c r="T144" s="6">
        <v>44593</v>
      </c>
      <c r="U144" s="6">
        <v>44593</v>
      </c>
      <c r="V144" s="7">
        <v>0.60457264594907401</v>
      </c>
      <c r="W144" s="6">
        <v>44609</v>
      </c>
      <c r="X144" s="7">
        <v>0</v>
      </c>
      <c r="Y144" s="8">
        <v>44609.533043981479</v>
      </c>
      <c r="Z144" s="5">
        <v>510</v>
      </c>
      <c r="AA144" s="1" t="s">
        <v>3403</v>
      </c>
      <c r="AB144" s="1"/>
      <c r="AC144" s="1"/>
      <c r="AD144" s="1"/>
      <c r="AE144" s="1" t="s">
        <v>3779</v>
      </c>
      <c r="AF144" s="1" t="s">
        <v>9</v>
      </c>
      <c r="AG144" s="4">
        <v>9</v>
      </c>
      <c r="AH144" s="1"/>
      <c r="AI144" s="6">
        <v>44926</v>
      </c>
    </row>
    <row r="145" spans="1:35" x14ac:dyDescent="0.3">
      <c r="A145" s="1" t="s">
        <v>2261</v>
      </c>
      <c r="B145" s="2" t="str">
        <f>HYPERLINK("https://my.zakupki.prom.ua/remote/dispatcher/state_purchase_view/34695983")</f>
        <v>https://my.zakupki.prom.ua/remote/dispatcher/state_purchase_view/34695983</v>
      </c>
      <c r="C145" s="1" t="s">
        <v>2674</v>
      </c>
      <c r="D145" s="1" t="s">
        <v>952</v>
      </c>
      <c r="E145" s="1" t="s">
        <v>4903</v>
      </c>
      <c r="F145" s="1" t="s">
        <v>4903</v>
      </c>
      <c r="G145" s="1" t="s">
        <v>4903</v>
      </c>
      <c r="H145" s="1" t="s">
        <v>103</v>
      </c>
      <c r="I145" s="1" t="s">
        <v>3126</v>
      </c>
      <c r="J145" s="5">
        <v>168410</v>
      </c>
      <c r="K145" s="1" t="s">
        <v>3394</v>
      </c>
      <c r="L145" s="5">
        <v>842.05</v>
      </c>
      <c r="M145" s="1" t="s">
        <v>2308</v>
      </c>
      <c r="N145" s="1" t="s">
        <v>3983</v>
      </c>
      <c r="O145" s="1" t="s">
        <v>817</v>
      </c>
      <c r="P145" s="1" t="s">
        <v>3956</v>
      </c>
      <c r="Q145" s="1" t="s">
        <v>4794</v>
      </c>
      <c r="R145" s="1" t="s">
        <v>4666</v>
      </c>
      <c r="S145" s="1" t="s">
        <v>4937</v>
      </c>
      <c r="T145" s="6">
        <v>44593</v>
      </c>
      <c r="U145" s="6">
        <v>44599</v>
      </c>
      <c r="V145" s="7">
        <v>0.33333333333333331</v>
      </c>
      <c r="W145" s="6">
        <v>44602</v>
      </c>
      <c r="X145" s="7">
        <v>0.41666666666666669</v>
      </c>
      <c r="Y145" s="1" t="s">
        <v>4860</v>
      </c>
      <c r="Z145" s="5">
        <v>340</v>
      </c>
      <c r="AA145" s="1" t="s">
        <v>3403</v>
      </c>
      <c r="AB145" s="1"/>
      <c r="AC145" s="1"/>
      <c r="AD145" s="1"/>
      <c r="AE145" s="1" t="s">
        <v>3775</v>
      </c>
      <c r="AF145" s="1" t="s">
        <v>9</v>
      </c>
      <c r="AG145" s="4">
        <v>6</v>
      </c>
      <c r="AH145" s="1"/>
      <c r="AI145" s="6">
        <v>44926</v>
      </c>
    </row>
    <row r="146" spans="1:35" x14ac:dyDescent="0.3">
      <c r="A146" s="1" t="s">
        <v>1822</v>
      </c>
      <c r="B146" s="2" t="str">
        <f>HYPERLINK("https://my.zakupki.prom.ua/remote/dispatcher/state_purchase_view/34695908")</f>
        <v>https://my.zakupki.prom.ua/remote/dispatcher/state_purchase_view/34695908</v>
      </c>
      <c r="C146" s="1" t="s">
        <v>3600</v>
      </c>
      <c r="D146" s="1" t="s">
        <v>1243</v>
      </c>
      <c r="E146" s="4">
        <v>1</v>
      </c>
      <c r="F146" s="5">
        <v>448800</v>
      </c>
      <c r="G146" s="1" t="s">
        <v>4940</v>
      </c>
      <c r="H146" s="1" t="s">
        <v>38</v>
      </c>
      <c r="I146" s="1" t="s">
        <v>2901</v>
      </c>
      <c r="J146" s="5">
        <v>448800</v>
      </c>
      <c r="K146" s="1" t="s">
        <v>3394</v>
      </c>
      <c r="L146" s="5">
        <v>2244</v>
      </c>
      <c r="M146" s="1" t="s">
        <v>2308</v>
      </c>
      <c r="N146" s="1" t="s">
        <v>3983</v>
      </c>
      <c r="O146" s="1" t="s">
        <v>2521</v>
      </c>
      <c r="P146" s="1" t="s">
        <v>2515</v>
      </c>
      <c r="Q146" s="1" t="s">
        <v>4805</v>
      </c>
      <c r="R146" s="1" t="s">
        <v>4081</v>
      </c>
      <c r="S146" s="1" t="s">
        <v>4971</v>
      </c>
      <c r="T146" s="6">
        <v>44593</v>
      </c>
      <c r="U146" s="6">
        <v>44593</v>
      </c>
      <c r="V146" s="7">
        <v>0.59107752699074079</v>
      </c>
      <c r="W146" s="6">
        <v>44609</v>
      </c>
      <c r="X146" s="7">
        <v>0.75</v>
      </c>
      <c r="Y146" s="8">
        <v>44610.47314814815</v>
      </c>
      <c r="Z146" s="5">
        <v>510</v>
      </c>
      <c r="AA146" s="1" t="s">
        <v>3403</v>
      </c>
      <c r="AB146" s="1"/>
      <c r="AC146" s="1"/>
      <c r="AD146" s="1"/>
      <c r="AE146" s="1" t="s">
        <v>3728</v>
      </c>
      <c r="AF146" s="1" t="s">
        <v>9</v>
      </c>
      <c r="AG146" s="4">
        <v>7</v>
      </c>
      <c r="AH146" s="1"/>
      <c r="AI146" s="6">
        <v>44926</v>
      </c>
    </row>
    <row r="147" spans="1:35" x14ac:dyDescent="0.3">
      <c r="A147" s="1" t="s">
        <v>1861</v>
      </c>
      <c r="B147" s="2" t="str">
        <f>HYPERLINK("https://my.zakupki.prom.ua/remote/dispatcher/state_purchase_view/34695872")</f>
        <v>https://my.zakupki.prom.ua/remote/dispatcher/state_purchase_view/34695872</v>
      </c>
      <c r="C147" s="1" t="s">
        <v>2403</v>
      </c>
      <c r="D147" s="1" t="s">
        <v>373</v>
      </c>
      <c r="E147" s="4">
        <v>1880</v>
      </c>
      <c r="F147" s="5">
        <v>30.72</v>
      </c>
      <c r="G147" s="1" t="s">
        <v>4908</v>
      </c>
      <c r="H147" s="1" t="s">
        <v>899</v>
      </c>
      <c r="I147" s="1" t="s">
        <v>4732</v>
      </c>
      <c r="J147" s="5">
        <v>57751</v>
      </c>
      <c r="K147" s="1" t="s">
        <v>3394</v>
      </c>
      <c r="L147" s="5">
        <v>288.76</v>
      </c>
      <c r="M147" s="1" t="s">
        <v>2308</v>
      </c>
      <c r="N147" s="1" t="s">
        <v>3983</v>
      </c>
      <c r="O147" s="1" t="s">
        <v>2521</v>
      </c>
      <c r="P147" s="1" t="s">
        <v>3956</v>
      </c>
      <c r="Q147" s="1" t="s">
        <v>2820</v>
      </c>
      <c r="R147" s="1" t="s">
        <v>4363</v>
      </c>
      <c r="S147" s="1" t="s">
        <v>4937</v>
      </c>
      <c r="T147" s="6">
        <v>44593</v>
      </c>
      <c r="U147" s="6">
        <v>44599</v>
      </c>
      <c r="V147" s="7">
        <v>0.39583333333333331</v>
      </c>
      <c r="W147" s="6">
        <v>44602</v>
      </c>
      <c r="X147" s="7">
        <v>0.39583333333333331</v>
      </c>
      <c r="Y147" s="1" t="s">
        <v>4860</v>
      </c>
      <c r="Z147" s="5">
        <v>340</v>
      </c>
      <c r="AA147" s="1" t="s">
        <v>3403</v>
      </c>
      <c r="AB147" s="1"/>
      <c r="AC147" s="1"/>
      <c r="AD147" s="1"/>
      <c r="AE147" s="1" t="s">
        <v>3767</v>
      </c>
      <c r="AF147" s="1" t="s">
        <v>9</v>
      </c>
      <c r="AG147" s="1" t="s">
        <v>9</v>
      </c>
      <c r="AH147" s="1"/>
      <c r="AI147" s="6">
        <v>44926</v>
      </c>
    </row>
    <row r="148" spans="1:35" x14ac:dyDescent="0.3">
      <c r="A148" s="1" t="s">
        <v>1866</v>
      </c>
      <c r="B148" s="2" t="str">
        <f>HYPERLINK("https://my.zakupki.prom.ua/remote/dispatcher/state_purchase_view/34695840")</f>
        <v>https://my.zakupki.prom.ua/remote/dispatcher/state_purchase_view/34695840</v>
      </c>
      <c r="C148" s="1" t="s">
        <v>3672</v>
      </c>
      <c r="D148" s="1" t="s">
        <v>489</v>
      </c>
      <c r="E148" s="1" t="s">
        <v>4903</v>
      </c>
      <c r="F148" s="1" t="s">
        <v>4903</v>
      </c>
      <c r="G148" s="1" t="s">
        <v>4903</v>
      </c>
      <c r="H148" s="1" t="s">
        <v>165</v>
      </c>
      <c r="I148" s="1" t="s">
        <v>2857</v>
      </c>
      <c r="J148" s="5">
        <v>183964.23</v>
      </c>
      <c r="K148" s="1" t="s">
        <v>3394</v>
      </c>
      <c r="L148" s="5">
        <v>1839.64</v>
      </c>
      <c r="M148" s="1" t="s">
        <v>2308</v>
      </c>
      <c r="N148" s="1" t="s">
        <v>3983</v>
      </c>
      <c r="O148" s="1" t="s">
        <v>2521</v>
      </c>
      <c r="P148" s="1" t="s">
        <v>3956</v>
      </c>
      <c r="Q148" s="1" t="s">
        <v>2761</v>
      </c>
      <c r="R148" s="1" t="s">
        <v>4325</v>
      </c>
      <c r="S148" s="1" t="s">
        <v>4937</v>
      </c>
      <c r="T148" s="6">
        <v>44593</v>
      </c>
      <c r="U148" s="6">
        <v>44600</v>
      </c>
      <c r="V148" s="7">
        <v>0.75</v>
      </c>
      <c r="W148" s="6">
        <v>44603</v>
      </c>
      <c r="X148" s="7">
        <v>0.75</v>
      </c>
      <c r="Y148" s="1" t="s">
        <v>4860</v>
      </c>
      <c r="Z148" s="5">
        <v>340</v>
      </c>
      <c r="AA148" s="1" t="s">
        <v>3403</v>
      </c>
      <c r="AB148" s="1"/>
      <c r="AC148" s="1"/>
      <c r="AD148" s="1"/>
      <c r="AE148" s="1" t="s">
        <v>3788</v>
      </c>
      <c r="AF148" s="1" t="s">
        <v>9</v>
      </c>
      <c r="AG148" s="4">
        <v>18</v>
      </c>
      <c r="AH148" s="1"/>
      <c r="AI148" s="6">
        <v>44926</v>
      </c>
    </row>
    <row r="149" spans="1:35" x14ac:dyDescent="0.3">
      <c r="A149" s="1" t="s">
        <v>1843</v>
      </c>
      <c r="B149" s="2" t="str">
        <f>HYPERLINK("https://my.zakupki.prom.ua/remote/dispatcher/state_purchase_view/34695835")</f>
        <v>https://my.zakupki.prom.ua/remote/dispatcher/state_purchase_view/34695835</v>
      </c>
      <c r="C149" s="1" t="s">
        <v>3528</v>
      </c>
      <c r="D149" s="1" t="s">
        <v>1158</v>
      </c>
      <c r="E149" s="1" t="s">
        <v>4903</v>
      </c>
      <c r="F149" s="1" t="s">
        <v>4903</v>
      </c>
      <c r="G149" s="1" t="s">
        <v>4903</v>
      </c>
      <c r="H149" s="1" t="s">
        <v>859</v>
      </c>
      <c r="I149" s="1" t="s">
        <v>2338</v>
      </c>
      <c r="J149" s="5">
        <v>110000</v>
      </c>
      <c r="K149" s="1" t="s">
        <v>3394</v>
      </c>
      <c r="L149" s="5">
        <v>550</v>
      </c>
      <c r="M149" s="1" t="s">
        <v>2308</v>
      </c>
      <c r="N149" s="1" t="s">
        <v>3983</v>
      </c>
      <c r="O149" s="1" t="s">
        <v>2521</v>
      </c>
      <c r="P149" s="1" t="s">
        <v>3956</v>
      </c>
      <c r="Q149" s="1" t="s">
        <v>2808</v>
      </c>
      <c r="R149" s="1" t="s">
        <v>4653</v>
      </c>
      <c r="S149" s="1" t="s">
        <v>4937</v>
      </c>
      <c r="T149" s="6">
        <v>44593</v>
      </c>
      <c r="U149" s="6">
        <v>44599</v>
      </c>
      <c r="V149" s="7">
        <v>0</v>
      </c>
      <c r="W149" s="6">
        <v>44603</v>
      </c>
      <c r="X149" s="7">
        <v>0</v>
      </c>
      <c r="Y149" s="1" t="s">
        <v>4860</v>
      </c>
      <c r="Z149" s="5">
        <v>340</v>
      </c>
      <c r="AA149" s="1" t="s">
        <v>3403</v>
      </c>
      <c r="AB149" s="1"/>
      <c r="AC149" s="1"/>
      <c r="AD149" s="1"/>
      <c r="AE149" s="1" t="s">
        <v>3754</v>
      </c>
      <c r="AF149" s="1" t="s">
        <v>9</v>
      </c>
      <c r="AG149" s="4">
        <v>1</v>
      </c>
      <c r="AH149" s="1"/>
      <c r="AI149" s="6">
        <v>44926</v>
      </c>
    </row>
    <row r="150" spans="1:35" x14ac:dyDescent="0.3">
      <c r="A150" s="1" t="s">
        <v>1853</v>
      </c>
      <c r="B150" s="2" t="str">
        <f>HYPERLINK("https://my.zakupki.prom.ua/remote/dispatcher/state_purchase_view/34695833")</f>
        <v>https://my.zakupki.prom.ua/remote/dispatcher/state_purchase_view/34695833</v>
      </c>
      <c r="C150" s="1" t="s">
        <v>3974</v>
      </c>
      <c r="D150" s="1" t="s">
        <v>498</v>
      </c>
      <c r="E150" s="1" t="s">
        <v>4903</v>
      </c>
      <c r="F150" s="1" t="s">
        <v>4903</v>
      </c>
      <c r="G150" s="1" t="s">
        <v>4903</v>
      </c>
      <c r="H150" s="1" t="s">
        <v>203</v>
      </c>
      <c r="I150" s="1" t="s">
        <v>3003</v>
      </c>
      <c r="J150" s="5">
        <v>169748</v>
      </c>
      <c r="K150" s="1" t="s">
        <v>3394</v>
      </c>
      <c r="L150" s="5">
        <v>1697.48</v>
      </c>
      <c r="M150" s="1" t="s">
        <v>2308</v>
      </c>
      <c r="N150" s="1" t="s">
        <v>3983</v>
      </c>
      <c r="O150" s="1" t="s">
        <v>2521</v>
      </c>
      <c r="P150" s="1" t="s">
        <v>3956</v>
      </c>
      <c r="Q150" s="1" t="s">
        <v>2761</v>
      </c>
      <c r="R150" s="1" t="s">
        <v>4529</v>
      </c>
      <c r="S150" s="1" t="s">
        <v>4937</v>
      </c>
      <c r="T150" s="6">
        <v>44593</v>
      </c>
      <c r="U150" s="6">
        <v>44599</v>
      </c>
      <c r="V150" s="7">
        <v>4.1666666666666664E-2</v>
      </c>
      <c r="W150" s="6">
        <v>44602</v>
      </c>
      <c r="X150" s="7">
        <v>4.1666666666666664E-2</v>
      </c>
      <c r="Y150" s="1" t="s">
        <v>4860</v>
      </c>
      <c r="Z150" s="5">
        <v>340</v>
      </c>
      <c r="AA150" s="1" t="s">
        <v>3403</v>
      </c>
      <c r="AB150" s="1"/>
      <c r="AC150" s="1"/>
      <c r="AD150" s="1"/>
      <c r="AE150" s="1" t="s">
        <v>3788</v>
      </c>
      <c r="AF150" s="1" t="s">
        <v>9</v>
      </c>
      <c r="AG150" s="4">
        <v>24</v>
      </c>
      <c r="AH150" s="1"/>
      <c r="AI150" s="6">
        <v>44926</v>
      </c>
    </row>
    <row r="151" spans="1:35" x14ac:dyDescent="0.3">
      <c r="A151" s="1" t="s">
        <v>2260</v>
      </c>
      <c r="B151" s="2" t="str">
        <f>HYPERLINK("https://my.zakupki.prom.ua/remote/dispatcher/state_purchase_view/34695790")</f>
        <v>https://my.zakupki.prom.ua/remote/dispatcher/state_purchase_view/34695790</v>
      </c>
      <c r="C151" s="1" t="s">
        <v>2784</v>
      </c>
      <c r="D151" s="1" t="s">
        <v>1044</v>
      </c>
      <c r="E151" s="4">
        <v>5</v>
      </c>
      <c r="F151" s="5">
        <v>53600</v>
      </c>
      <c r="G151" s="1" t="s">
        <v>4991</v>
      </c>
      <c r="H151" s="1" t="s">
        <v>243</v>
      </c>
      <c r="I151" s="1" t="s">
        <v>2970</v>
      </c>
      <c r="J151" s="5">
        <v>268000</v>
      </c>
      <c r="K151" s="1" t="s">
        <v>3394</v>
      </c>
      <c r="L151" s="5">
        <v>2680</v>
      </c>
      <c r="M151" s="1" t="s">
        <v>2308</v>
      </c>
      <c r="N151" s="1" t="s">
        <v>3983</v>
      </c>
      <c r="O151" s="1" t="s">
        <v>2521</v>
      </c>
      <c r="P151" s="1" t="s">
        <v>3956</v>
      </c>
      <c r="Q151" s="1" t="s">
        <v>2497</v>
      </c>
      <c r="R151" s="1" t="s">
        <v>4416</v>
      </c>
      <c r="S151" s="1" t="s">
        <v>4937</v>
      </c>
      <c r="T151" s="6">
        <v>44593</v>
      </c>
      <c r="U151" s="6">
        <v>44599</v>
      </c>
      <c r="V151" s="7">
        <v>0.70833333333333337</v>
      </c>
      <c r="W151" s="6">
        <v>44603</v>
      </c>
      <c r="X151" s="7">
        <v>0</v>
      </c>
      <c r="Y151" s="1" t="s">
        <v>4860</v>
      </c>
      <c r="Z151" s="5">
        <v>510</v>
      </c>
      <c r="AA151" s="1" t="s">
        <v>3403</v>
      </c>
      <c r="AB151" s="1"/>
      <c r="AC151" s="1"/>
      <c r="AD151" s="1"/>
      <c r="AE151" s="1" t="s">
        <v>3805</v>
      </c>
      <c r="AF151" s="1" t="s">
        <v>9</v>
      </c>
      <c r="AG151" s="4">
        <v>9</v>
      </c>
      <c r="AH151" s="1"/>
      <c r="AI151" s="6">
        <v>44926</v>
      </c>
    </row>
    <row r="152" spans="1:35" x14ac:dyDescent="0.3">
      <c r="A152" s="1" t="s">
        <v>1871</v>
      </c>
      <c r="B152" s="2" t="str">
        <f>HYPERLINK("https://my.zakupki.prom.ua/remote/dispatcher/state_purchase_view/34695756")</f>
        <v>https://my.zakupki.prom.ua/remote/dispatcher/state_purchase_view/34695756</v>
      </c>
      <c r="C152" s="1" t="s">
        <v>4979</v>
      </c>
      <c r="D152" s="1" t="s">
        <v>475</v>
      </c>
      <c r="E152" s="4">
        <v>1870</v>
      </c>
      <c r="F152" s="5">
        <v>106.9</v>
      </c>
      <c r="G152" s="1" t="s">
        <v>4902</v>
      </c>
      <c r="H152" s="1" t="s">
        <v>178</v>
      </c>
      <c r="I152" s="1" t="s">
        <v>4007</v>
      </c>
      <c r="J152" s="5">
        <v>199900</v>
      </c>
      <c r="K152" s="1" t="s">
        <v>3394</v>
      </c>
      <c r="L152" s="5">
        <v>1000</v>
      </c>
      <c r="M152" s="1" t="s">
        <v>2308</v>
      </c>
      <c r="N152" s="1" t="s">
        <v>3983</v>
      </c>
      <c r="O152" s="1" t="s">
        <v>2521</v>
      </c>
      <c r="P152" s="1" t="s">
        <v>3956</v>
      </c>
      <c r="Q152" s="1" t="s">
        <v>2528</v>
      </c>
      <c r="R152" s="1" t="s">
        <v>4112</v>
      </c>
      <c r="S152" s="1" t="s">
        <v>4937</v>
      </c>
      <c r="T152" s="6">
        <v>44593</v>
      </c>
      <c r="U152" s="6">
        <v>44599</v>
      </c>
      <c r="V152" s="7">
        <v>0</v>
      </c>
      <c r="W152" s="6">
        <v>44602</v>
      </c>
      <c r="X152" s="7">
        <v>0</v>
      </c>
      <c r="Y152" s="1" t="s">
        <v>4860</v>
      </c>
      <c r="Z152" s="5">
        <v>340</v>
      </c>
      <c r="AA152" s="1" t="s">
        <v>3403</v>
      </c>
      <c r="AB152" s="1"/>
      <c r="AC152" s="1"/>
      <c r="AD152" s="1"/>
      <c r="AE152" s="1" t="s">
        <v>3775</v>
      </c>
      <c r="AF152" s="1" t="s">
        <v>9</v>
      </c>
      <c r="AG152" s="4">
        <v>2</v>
      </c>
      <c r="AH152" s="1"/>
      <c r="AI152" s="6">
        <v>44926</v>
      </c>
    </row>
    <row r="153" spans="1:35" x14ac:dyDescent="0.3">
      <c r="A153" s="1" t="s">
        <v>1829</v>
      </c>
      <c r="B153" s="2" t="str">
        <f>HYPERLINK("https://my.zakupki.prom.ua/remote/dispatcher/state_purchase_view/34695757")</f>
        <v>https://my.zakupki.prom.ua/remote/dispatcher/state_purchase_view/34695757</v>
      </c>
      <c r="C153" s="1" t="s">
        <v>3479</v>
      </c>
      <c r="D153" s="1" t="s">
        <v>697</v>
      </c>
      <c r="E153" s="4">
        <v>234</v>
      </c>
      <c r="F153" s="5">
        <v>180</v>
      </c>
      <c r="G153" s="1" t="s">
        <v>4935</v>
      </c>
      <c r="H153" s="1" t="s">
        <v>425</v>
      </c>
      <c r="I153" s="1" t="s">
        <v>3237</v>
      </c>
      <c r="J153" s="5">
        <v>42120</v>
      </c>
      <c r="K153" s="1" t="s">
        <v>3394</v>
      </c>
      <c r="L153" s="5">
        <v>421.2</v>
      </c>
      <c r="M153" s="1" t="s">
        <v>2308</v>
      </c>
      <c r="N153" s="1" t="s">
        <v>3983</v>
      </c>
      <c r="O153" s="1" t="s">
        <v>2521</v>
      </c>
      <c r="P153" s="1" t="s">
        <v>3956</v>
      </c>
      <c r="Q153" s="1" t="s">
        <v>3264</v>
      </c>
      <c r="R153" s="1" t="s">
        <v>4324</v>
      </c>
      <c r="S153" s="1" t="s">
        <v>4937</v>
      </c>
      <c r="T153" s="6">
        <v>44593</v>
      </c>
      <c r="U153" s="6">
        <v>44599</v>
      </c>
      <c r="V153" s="7">
        <v>0.375</v>
      </c>
      <c r="W153" s="6">
        <v>44602</v>
      </c>
      <c r="X153" s="7">
        <v>0.375</v>
      </c>
      <c r="Y153" s="1" t="s">
        <v>4860</v>
      </c>
      <c r="Z153" s="5">
        <v>119</v>
      </c>
      <c r="AA153" s="1" t="s">
        <v>3403</v>
      </c>
      <c r="AB153" s="1"/>
      <c r="AC153" s="1"/>
      <c r="AD153" s="1"/>
      <c r="AE153" s="1" t="s">
        <v>3771</v>
      </c>
      <c r="AF153" s="1" t="s">
        <v>9</v>
      </c>
      <c r="AG153" s="4">
        <v>3</v>
      </c>
      <c r="AH153" s="1"/>
      <c r="AI153" s="6">
        <v>44926</v>
      </c>
    </row>
    <row r="154" spans="1:35" x14ac:dyDescent="0.3">
      <c r="A154" s="1" t="s">
        <v>1867</v>
      </c>
      <c r="B154" s="2" t="str">
        <f>HYPERLINK("https://my.zakupki.prom.ua/remote/dispatcher/state_purchase_view/34695747")</f>
        <v>https://my.zakupki.prom.ua/remote/dispatcher/state_purchase_view/34695747</v>
      </c>
      <c r="C154" s="1" t="s">
        <v>2829</v>
      </c>
      <c r="D154" s="1" t="s">
        <v>208</v>
      </c>
      <c r="E154" s="1" t="s">
        <v>4903</v>
      </c>
      <c r="F154" s="1" t="s">
        <v>4903</v>
      </c>
      <c r="G154" s="1" t="s">
        <v>4903</v>
      </c>
      <c r="H154" s="1" t="s">
        <v>860</v>
      </c>
      <c r="I154" s="1" t="s">
        <v>3194</v>
      </c>
      <c r="J154" s="5">
        <v>52600</v>
      </c>
      <c r="K154" s="1" t="s">
        <v>3394</v>
      </c>
      <c r="L154" s="5">
        <v>526</v>
      </c>
      <c r="M154" s="1" t="s">
        <v>2308</v>
      </c>
      <c r="N154" s="1" t="s">
        <v>3983</v>
      </c>
      <c r="O154" s="1" t="s">
        <v>2521</v>
      </c>
      <c r="P154" s="1" t="s">
        <v>3956</v>
      </c>
      <c r="Q154" s="1" t="s">
        <v>3035</v>
      </c>
      <c r="R154" s="1" t="s">
        <v>4081</v>
      </c>
      <c r="S154" s="1" t="s">
        <v>4937</v>
      </c>
      <c r="T154" s="6">
        <v>44593</v>
      </c>
      <c r="U154" s="6">
        <v>44599</v>
      </c>
      <c r="V154" s="7">
        <v>0</v>
      </c>
      <c r="W154" s="6">
        <v>44602</v>
      </c>
      <c r="X154" s="7">
        <v>0</v>
      </c>
      <c r="Y154" s="1" t="s">
        <v>4860</v>
      </c>
      <c r="Z154" s="5">
        <v>340</v>
      </c>
      <c r="AA154" s="1" t="s">
        <v>3403</v>
      </c>
      <c r="AB154" s="1"/>
      <c r="AC154" s="1"/>
      <c r="AD154" s="1"/>
      <c r="AE154" s="1" t="s">
        <v>3789</v>
      </c>
      <c r="AF154" s="1" t="s">
        <v>9</v>
      </c>
      <c r="AG154" s="4">
        <v>1</v>
      </c>
      <c r="AH154" s="1"/>
      <c r="AI154" s="6">
        <v>44926</v>
      </c>
    </row>
    <row r="155" spans="1:35" x14ac:dyDescent="0.3">
      <c r="A155" s="1" t="s">
        <v>2259</v>
      </c>
      <c r="B155" s="2" t="str">
        <f>HYPERLINK("https://my.zakupki.prom.ua/remote/dispatcher/state_purchase_lot_view/740643")</f>
        <v>https://my.zakupki.prom.ua/remote/dispatcher/state_purchase_lot_view/740643</v>
      </c>
      <c r="C155" s="1" t="s">
        <v>3863</v>
      </c>
      <c r="D155" s="1" t="s">
        <v>1139</v>
      </c>
      <c r="E155" s="4">
        <v>1</v>
      </c>
      <c r="F155" s="5">
        <v>5354316</v>
      </c>
      <c r="G155" s="1" t="s">
        <v>4976</v>
      </c>
      <c r="H155" s="1" t="s">
        <v>330</v>
      </c>
      <c r="I155" s="1" t="s">
        <v>3463</v>
      </c>
      <c r="J155" s="5">
        <v>7322232</v>
      </c>
      <c r="K155" s="5">
        <v>5354316</v>
      </c>
      <c r="L155" s="5">
        <v>26800</v>
      </c>
      <c r="M155" s="1" t="s">
        <v>2308</v>
      </c>
      <c r="N155" s="1" t="s">
        <v>3983</v>
      </c>
      <c r="O155" s="1" t="s">
        <v>635</v>
      </c>
      <c r="P155" s="1" t="s">
        <v>2515</v>
      </c>
      <c r="Q155" s="1" t="s">
        <v>3878</v>
      </c>
      <c r="R155" s="1" t="s">
        <v>4300</v>
      </c>
      <c r="S155" s="1" t="s">
        <v>4971</v>
      </c>
      <c r="T155" s="6">
        <v>44593</v>
      </c>
      <c r="U155" s="6">
        <v>44593</v>
      </c>
      <c r="V155" s="7">
        <v>0.60411647711805561</v>
      </c>
      <c r="W155" s="6">
        <v>44609</v>
      </c>
      <c r="X155" s="7">
        <v>0</v>
      </c>
      <c r="Y155" s="8">
        <v>44609.554293981484</v>
      </c>
      <c r="Z155" s="5">
        <v>3400</v>
      </c>
      <c r="AA155" s="1" t="s">
        <v>3403</v>
      </c>
      <c r="AB155" s="1"/>
      <c r="AC155" s="1"/>
      <c r="AD155" s="1"/>
      <c r="AE155" s="1" t="s">
        <v>3711</v>
      </c>
      <c r="AF155" s="1" t="s">
        <v>9</v>
      </c>
      <c r="AG155" s="4">
        <v>13</v>
      </c>
      <c r="AH155" s="6">
        <v>44621</v>
      </c>
      <c r="AI155" s="6">
        <v>44835</v>
      </c>
    </row>
    <row r="156" spans="1:35" x14ac:dyDescent="0.3">
      <c r="A156" s="1" t="s">
        <v>2259</v>
      </c>
      <c r="B156" s="2" t="str">
        <f>HYPERLINK("https://my.zakupki.prom.ua/remote/dispatcher/state_purchase_lot_view/740644")</f>
        <v>https://my.zakupki.prom.ua/remote/dispatcher/state_purchase_lot_view/740644</v>
      </c>
      <c r="C156" s="1" t="s">
        <v>3862</v>
      </c>
      <c r="D156" s="1" t="s">
        <v>1139</v>
      </c>
      <c r="E156" s="4">
        <v>1</v>
      </c>
      <c r="F156" s="5">
        <v>1967916</v>
      </c>
      <c r="G156" s="1" t="s">
        <v>4976</v>
      </c>
      <c r="H156" s="1" t="s">
        <v>330</v>
      </c>
      <c r="I156" s="1" t="s">
        <v>3463</v>
      </c>
      <c r="J156" s="5">
        <v>7322232</v>
      </c>
      <c r="K156" s="5">
        <v>1967916</v>
      </c>
      <c r="L156" s="5">
        <v>9900</v>
      </c>
      <c r="M156" s="1" t="s">
        <v>2308</v>
      </c>
      <c r="N156" s="1" t="s">
        <v>3983</v>
      </c>
      <c r="O156" s="1" t="s">
        <v>1252</v>
      </c>
      <c r="P156" s="1" t="s">
        <v>2515</v>
      </c>
      <c r="Q156" s="1" t="s">
        <v>3878</v>
      </c>
      <c r="R156" s="1" t="s">
        <v>4300</v>
      </c>
      <c r="S156" s="1" t="s">
        <v>4971</v>
      </c>
      <c r="T156" s="6">
        <v>44593</v>
      </c>
      <c r="U156" s="6">
        <v>44593</v>
      </c>
      <c r="V156" s="7">
        <v>0.60411647711805561</v>
      </c>
      <c r="W156" s="6">
        <v>44609</v>
      </c>
      <c r="X156" s="7">
        <v>0</v>
      </c>
      <c r="Y156" s="8">
        <v>44609.576747685183</v>
      </c>
      <c r="Z156" s="5">
        <v>1700</v>
      </c>
      <c r="AA156" s="1" t="s">
        <v>3403</v>
      </c>
      <c r="AB156" s="1"/>
      <c r="AC156" s="1"/>
      <c r="AD156" s="1"/>
      <c r="AE156" s="1" t="s">
        <v>3711</v>
      </c>
      <c r="AF156" s="1" t="s">
        <v>9</v>
      </c>
      <c r="AG156" s="4">
        <v>13</v>
      </c>
      <c r="AH156" s="6">
        <v>44621</v>
      </c>
      <c r="AI156" s="6">
        <v>44835</v>
      </c>
    </row>
    <row r="157" spans="1:35" x14ac:dyDescent="0.3">
      <c r="A157" s="1" t="s">
        <v>2258</v>
      </c>
      <c r="B157" s="2" t="str">
        <f>HYPERLINK("https://my.zakupki.prom.ua/remote/dispatcher/state_purchase_view/34695724")</f>
        <v>https://my.zakupki.prom.ua/remote/dispatcher/state_purchase_view/34695724</v>
      </c>
      <c r="C157" s="1" t="s">
        <v>2624</v>
      </c>
      <c r="D157" s="1" t="s">
        <v>924</v>
      </c>
      <c r="E157" s="4">
        <v>1</v>
      </c>
      <c r="F157" s="5">
        <v>110000</v>
      </c>
      <c r="G157" s="1" t="s">
        <v>4991</v>
      </c>
      <c r="H157" s="1" t="s">
        <v>118</v>
      </c>
      <c r="I157" s="1" t="s">
        <v>2905</v>
      </c>
      <c r="J157" s="5">
        <v>110000</v>
      </c>
      <c r="K157" s="1" t="s">
        <v>3394</v>
      </c>
      <c r="L157" s="5">
        <v>1100</v>
      </c>
      <c r="M157" s="1" t="s">
        <v>2308</v>
      </c>
      <c r="N157" s="1" t="s">
        <v>3983</v>
      </c>
      <c r="O157" s="1" t="s">
        <v>2521</v>
      </c>
      <c r="P157" s="1" t="s">
        <v>3956</v>
      </c>
      <c r="Q157" s="1" t="s">
        <v>4831</v>
      </c>
      <c r="R157" s="1" t="s">
        <v>4331</v>
      </c>
      <c r="S157" s="1" t="s">
        <v>4937</v>
      </c>
      <c r="T157" s="6">
        <v>44593</v>
      </c>
      <c r="U157" s="6">
        <v>44599</v>
      </c>
      <c r="V157" s="7">
        <v>0.6020833333333333</v>
      </c>
      <c r="W157" s="6">
        <v>44603</v>
      </c>
      <c r="X157" s="7">
        <v>0.58750000000000002</v>
      </c>
      <c r="Y157" s="1" t="s">
        <v>4860</v>
      </c>
      <c r="Z157" s="5">
        <v>340</v>
      </c>
      <c r="AA157" s="1" t="s">
        <v>3403</v>
      </c>
      <c r="AB157" s="1"/>
      <c r="AC157" s="1"/>
      <c r="AD157" s="1"/>
      <c r="AE157" s="1" t="s">
        <v>3774</v>
      </c>
      <c r="AF157" s="1" t="s">
        <v>9</v>
      </c>
      <c r="AG157" s="4">
        <v>35</v>
      </c>
      <c r="AH157" s="1"/>
      <c r="AI157" s="6">
        <v>44926</v>
      </c>
    </row>
    <row r="158" spans="1:35" x14ac:dyDescent="0.3">
      <c r="A158" s="1" t="s">
        <v>2257</v>
      </c>
      <c r="B158" s="2" t="str">
        <f>HYPERLINK("https://my.zakupki.prom.ua/remote/dispatcher/state_purchase_view/34695048")</f>
        <v>https://my.zakupki.prom.ua/remote/dispatcher/state_purchase_view/34695048</v>
      </c>
      <c r="C158" s="1" t="s">
        <v>2672</v>
      </c>
      <c r="D158" s="1" t="s">
        <v>697</v>
      </c>
      <c r="E158" s="4">
        <v>350</v>
      </c>
      <c r="F158" s="5">
        <v>185.71</v>
      </c>
      <c r="G158" s="1" t="s">
        <v>4935</v>
      </c>
      <c r="H158" s="1" t="s">
        <v>904</v>
      </c>
      <c r="I158" s="1" t="s">
        <v>3144</v>
      </c>
      <c r="J158" s="5">
        <v>65000</v>
      </c>
      <c r="K158" s="1" t="s">
        <v>3394</v>
      </c>
      <c r="L158" s="5">
        <v>325</v>
      </c>
      <c r="M158" s="1" t="s">
        <v>2308</v>
      </c>
      <c r="N158" s="1" t="s">
        <v>3983</v>
      </c>
      <c r="O158" s="1" t="s">
        <v>2521</v>
      </c>
      <c r="P158" s="1" t="s">
        <v>3956</v>
      </c>
      <c r="Q158" s="1" t="s">
        <v>2761</v>
      </c>
      <c r="R158" s="1" t="s">
        <v>4434</v>
      </c>
      <c r="S158" s="1" t="s">
        <v>4937</v>
      </c>
      <c r="T158" s="6">
        <v>44593</v>
      </c>
      <c r="U158" s="6">
        <v>44599</v>
      </c>
      <c r="V158" s="7">
        <v>0.5</v>
      </c>
      <c r="W158" s="6">
        <v>44602</v>
      </c>
      <c r="X158" s="7">
        <v>0.25</v>
      </c>
      <c r="Y158" s="1" t="s">
        <v>4860</v>
      </c>
      <c r="Z158" s="5">
        <v>340</v>
      </c>
      <c r="AA158" s="1" t="s">
        <v>3403</v>
      </c>
      <c r="AB158" s="1"/>
      <c r="AC158" s="1"/>
      <c r="AD158" s="1"/>
      <c r="AE158" s="1" t="s">
        <v>3788</v>
      </c>
      <c r="AF158" s="1" t="s">
        <v>9</v>
      </c>
      <c r="AG158" s="4">
        <v>3</v>
      </c>
      <c r="AH158" s="1"/>
      <c r="AI158" s="6">
        <v>44926</v>
      </c>
    </row>
    <row r="159" spans="1:35" x14ac:dyDescent="0.3">
      <c r="A159" s="1" t="s">
        <v>2256</v>
      </c>
      <c r="B159" s="2" t="str">
        <f>HYPERLINK("https://my.zakupki.prom.ua/remote/dispatcher/state_purchase_view/34695427")</f>
        <v>https://my.zakupki.prom.ua/remote/dispatcher/state_purchase_view/34695427</v>
      </c>
      <c r="C159" s="1" t="s">
        <v>4783</v>
      </c>
      <c r="D159" s="1" t="s">
        <v>441</v>
      </c>
      <c r="E159" s="1" t="s">
        <v>4903</v>
      </c>
      <c r="F159" s="1" t="s">
        <v>4903</v>
      </c>
      <c r="G159" s="1" t="s">
        <v>4903</v>
      </c>
      <c r="H159" s="1" t="s">
        <v>990</v>
      </c>
      <c r="I159" s="1" t="s">
        <v>2506</v>
      </c>
      <c r="J159" s="5">
        <v>591500</v>
      </c>
      <c r="K159" s="1" t="s">
        <v>3394</v>
      </c>
      <c r="L159" s="5">
        <v>2957.5</v>
      </c>
      <c r="M159" s="1" t="s">
        <v>2308</v>
      </c>
      <c r="N159" s="1" t="s">
        <v>3983</v>
      </c>
      <c r="O159" s="1" t="s">
        <v>2521</v>
      </c>
      <c r="P159" s="1" t="s">
        <v>2515</v>
      </c>
      <c r="Q159" s="1" t="s">
        <v>3426</v>
      </c>
      <c r="R159" s="1" t="s">
        <v>4081</v>
      </c>
      <c r="S159" s="1" t="s">
        <v>4971</v>
      </c>
      <c r="T159" s="6">
        <v>44593</v>
      </c>
      <c r="U159" s="6">
        <v>44593</v>
      </c>
      <c r="V159" s="7">
        <v>0.60329168758101859</v>
      </c>
      <c r="W159" s="6">
        <v>44609</v>
      </c>
      <c r="X159" s="7">
        <v>0.59791666666666665</v>
      </c>
      <c r="Y159" s="8">
        <v>44610.629212962966</v>
      </c>
      <c r="Z159" s="5">
        <v>510</v>
      </c>
      <c r="AA159" s="1" t="s">
        <v>3403</v>
      </c>
      <c r="AB159" s="1"/>
      <c r="AC159" s="1"/>
      <c r="AD159" s="1"/>
      <c r="AE159" s="1" t="s">
        <v>3765</v>
      </c>
      <c r="AF159" s="1" t="s">
        <v>9</v>
      </c>
      <c r="AG159" s="4">
        <v>5</v>
      </c>
      <c r="AH159" s="1"/>
      <c r="AI159" s="6">
        <v>44926</v>
      </c>
    </row>
    <row r="160" spans="1:35" x14ac:dyDescent="0.3">
      <c r="A160" s="1" t="s">
        <v>2255</v>
      </c>
      <c r="B160" s="2" t="str">
        <f>HYPERLINK("https://my.zakupki.prom.ua/remote/dispatcher/state_purchase_view/34695674")</f>
        <v>https://my.zakupki.prom.ua/remote/dispatcher/state_purchase_view/34695674</v>
      </c>
      <c r="C160" s="1" t="s">
        <v>3852</v>
      </c>
      <c r="D160" s="1" t="s">
        <v>453</v>
      </c>
      <c r="E160" s="4">
        <v>579</v>
      </c>
      <c r="F160" s="5">
        <v>85.06</v>
      </c>
      <c r="G160" s="1" t="s">
        <v>4901</v>
      </c>
      <c r="H160" s="1" t="s">
        <v>574</v>
      </c>
      <c r="I160" s="1" t="s">
        <v>3200</v>
      </c>
      <c r="J160" s="5">
        <v>49247</v>
      </c>
      <c r="K160" s="1" t="s">
        <v>3394</v>
      </c>
      <c r="L160" s="5">
        <v>492.47</v>
      </c>
      <c r="M160" s="1" t="s">
        <v>2308</v>
      </c>
      <c r="N160" s="1" t="s">
        <v>3983</v>
      </c>
      <c r="O160" s="1" t="s">
        <v>2521</v>
      </c>
      <c r="P160" s="1" t="s">
        <v>3956</v>
      </c>
      <c r="Q160" s="1" t="s">
        <v>3238</v>
      </c>
      <c r="R160" s="1" t="s">
        <v>4424</v>
      </c>
      <c r="S160" s="1" t="s">
        <v>4937</v>
      </c>
      <c r="T160" s="6">
        <v>44593</v>
      </c>
      <c r="U160" s="6">
        <v>44599</v>
      </c>
      <c r="V160" s="7">
        <v>0.625</v>
      </c>
      <c r="W160" s="6">
        <v>44602</v>
      </c>
      <c r="X160" s="7">
        <v>0.45833333333333331</v>
      </c>
      <c r="Y160" s="1" t="s">
        <v>4860</v>
      </c>
      <c r="Z160" s="5">
        <v>119</v>
      </c>
      <c r="AA160" s="1" t="s">
        <v>3403</v>
      </c>
      <c r="AB160" s="1"/>
      <c r="AC160" s="1"/>
      <c r="AD160" s="1"/>
      <c r="AE160" s="1" t="s">
        <v>3788</v>
      </c>
      <c r="AF160" s="1" t="s">
        <v>9</v>
      </c>
      <c r="AG160" s="4">
        <v>2</v>
      </c>
      <c r="AH160" s="1"/>
      <c r="AI160" s="6">
        <v>44925</v>
      </c>
    </row>
    <row r="161" spans="1:35" x14ac:dyDescent="0.3">
      <c r="A161" s="1" t="s">
        <v>1508</v>
      </c>
      <c r="B161" s="2" t="str">
        <f>HYPERLINK("https://my.zakupki.prom.ua/remote/dispatcher/state_purchase_view/34695639")</f>
        <v>https://my.zakupki.prom.ua/remote/dispatcher/state_purchase_view/34695639</v>
      </c>
      <c r="C161" s="1" t="s">
        <v>3591</v>
      </c>
      <c r="D161" s="1" t="s">
        <v>1192</v>
      </c>
      <c r="E161" s="4">
        <v>62436</v>
      </c>
      <c r="F161" s="5">
        <v>47</v>
      </c>
      <c r="G161" s="1" t="s">
        <v>4940</v>
      </c>
      <c r="H161" s="1" t="s">
        <v>205</v>
      </c>
      <c r="I161" s="1" t="s">
        <v>4753</v>
      </c>
      <c r="J161" s="5">
        <v>2934276.8</v>
      </c>
      <c r="K161" s="1" t="s">
        <v>3394</v>
      </c>
      <c r="L161" s="5">
        <v>14671.38</v>
      </c>
      <c r="M161" s="1" t="s">
        <v>2308</v>
      </c>
      <c r="N161" s="1" t="s">
        <v>3403</v>
      </c>
      <c r="O161" s="1" t="s">
        <v>2521</v>
      </c>
      <c r="P161" s="1" t="s">
        <v>2515</v>
      </c>
      <c r="Q161" s="1" t="s">
        <v>3035</v>
      </c>
      <c r="R161" s="1" t="s">
        <v>4132</v>
      </c>
      <c r="S161" s="1" t="s">
        <v>4971</v>
      </c>
      <c r="T161" s="6">
        <v>44593</v>
      </c>
      <c r="U161" s="6">
        <v>44593</v>
      </c>
      <c r="V161" s="7">
        <v>0.59154989072916675</v>
      </c>
      <c r="W161" s="6">
        <v>44609</v>
      </c>
      <c r="X161" s="7">
        <v>0.70833333333333337</v>
      </c>
      <c r="Y161" s="8">
        <v>44610.626527777778</v>
      </c>
      <c r="Z161" s="5">
        <v>1700</v>
      </c>
      <c r="AA161" s="1" t="s">
        <v>3403</v>
      </c>
      <c r="AB161" s="1"/>
      <c r="AC161" s="1"/>
      <c r="AD161" s="1"/>
      <c r="AE161" s="1" t="s">
        <v>3759</v>
      </c>
      <c r="AF161" s="1" t="s">
        <v>9</v>
      </c>
      <c r="AG161" s="1" t="s">
        <v>9</v>
      </c>
      <c r="AH161" s="1"/>
      <c r="AI161" s="6">
        <v>44926</v>
      </c>
    </row>
    <row r="162" spans="1:35" x14ac:dyDescent="0.3">
      <c r="A162" s="1" t="s">
        <v>2253</v>
      </c>
      <c r="B162" s="2" t="str">
        <f>HYPERLINK("https://my.zakupki.prom.ua/remote/dispatcher/state_purchase_view/34695629")</f>
        <v>https://my.zakupki.prom.ua/remote/dispatcher/state_purchase_view/34695629</v>
      </c>
      <c r="C162" s="1" t="s">
        <v>3313</v>
      </c>
      <c r="D162" s="1" t="s">
        <v>781</v>
      </c>
      <c r="E162" s="4">
        <v>15</v>
      </c>
      <c r="F162" s="5">
        <v>3300</v>
      </c>
      <c r="G162" s="1" t="s">
        <v>4985</v>
      </c>
      <c r="H162" s="1" t="s">
        <v>75</v>
      </c>
      <c r="I162" s="1" t="s">
        <v>3112</v>
      </c>
      <c r="J162" s="5">
        <v>49500</v>
      </c>
      <c r="K162" s="1" t="s">
        <v>3394</v>
      </c>
      <c r="L162" s="5">
        <v>495</v>
      </c>
      <c r="M162" s="1" t="s">
        <v>2308</v>
      </c>
      <c r="N162" s="1" t="s">
        <v>3983</v>
      </c>
      <c r="O162" s="1" t="s">
        <v>2521</v>
      </c>
      <c r="P162" s="1" t="s">
        <v>2515</v>
      </c>
      <c r="Q162" s="1" t="s">
        <v>2796</v>
      </c>
      <c r="R162" s="1" t="s">
        <v>4503</v>
      </c>
      <c r="S162" s="1" t="s">
        <v>4971</v>
      </c>
      <c r="T162" s="6">
        <v>44593</v>
      </c>
      <c r="U162" s="6">
        <v>44593</v>
      </c>
      <c r="V162" s="7">
        <v>0.60286321674768517</v>
      </c>
      <c r="W162" s="6">
        <v>44609</v>
      </c>
      <c r="X162" s="7">
        <v>0.41666666666666669</v>
      </c>
      <c r="Y162" s="8">
        <v>44610.566527777781</v>
      </c>
      <c r="Z162" s="5">
        <v>119</v>
      </c>
      <c r="AA162" s="1" t="s">
        <v>3403</v>
      </c>
      <c r="AB162" s="1"/>
      <c r="AC162" s="1"/>
      <c r="AD162" s="1"/>
      <c r="AE162" s="1" t="s">
        <v>3788</v>
      </c>
      <c r="AF162" s="1" t="s">
        <v>9</v>
      </c>
      <c r="AG162" s="4">
        <v>6</v>
      </c>
      <c r="AH162" s="1"/>
      <c r="AI162" s="6">
        <v>44926</v>
      </c>
    </row>
    <row r="163" spans="1:35" x14ac:dyDescent="0.3">
      <c r="A163" s="1" t="s">
        <v>1481</v>
      </c>
      <c r="B163" s="2" t="str">
        <f>HYPERLINK("https://my.zakupki.prom.ua/remote/dispatcher/state_purchase_view/34695637")</f>
        <v>https://my.zakupki.prom.ua/remote/dispatcher/state_purchase_view/34695637</v>
      </c>
      <c r="C163" s="1" t="s">
        <v>3600</v>
      </c>
      <c r="D163" s="1" t="s">
        <v>1243</v>
      </c>
      <c r="E163" s="4">
        <v>1</v>
      </c>
      <c r="F163" s="5">
        <v>448800</v>
      </c>
      <c r="G163" s="1" t="s">
        <v>4940</v>
      </c>
      <c r="H163" s="1" t="s">
        <v>38</v>
      </c>
      <c r="I163" s="1" t="s">
        <v>2901</v>
      </c>
      <c r="J163" s="5">
        <v>448800</v>
      </c>
      <c r="K163" s="1" t="s">
        <v>3394</v>
      </c>
      <c r="L163" s="5">
        <v>2244</v>
      </c>
      <c r="M163" s="1" t="s">
        <v>2308</v>
      </c>
      <c r="N163" s="1" t="s">
        <v>3983</v>
      </c>
      <c r="O163" s="1" t="s">
        <v>2521</v>
      </c>
      <c r="P163" s="1" t="s">
        <v>2515</v>
      </c>
      <c r="Q163" s="1" t="s">
        <v>4805</v>
      </c>
      <c r="R163" s="1" t="s">
        <v>4081</v>
      </c>
      <c r="S163" s="1" t="s">
        <v>4971</v>
      </c>
      <c r="T163" s="6">
        <v>44593</v>
      </c>
      <c r="U163" s="6">
        <v>44593</v>
      </c>
      <c r="V163" s="7">
        <v>0.57878966944444443</v>
      </c>
      <c r="W163" s="6">
        <v>44609</v>
      </c>
      <c r="X163" s="7">
        <v>0.75</v>
      </c>
      <c r="Y163" s="8">
        <v>44610.561597222222</v>
      </c>
      <c r="Z163" s="5">
        <v>510</v>
      </c>
      <c r="AA163" s="1" t="s">
        <v>3403</v>
      </c>
      <c r="AB163" s="1"/>
      <c r="AC163" s="1"/>
      <c r="AD163" s="1"/>
      <c r="AE163" s="1" t="s">
        <v>3728</v>
      </c>
      <c r="AF163" s="1" t="s">
        <v>9</v>
      </c>
      <c r="AG163" s="4">
        <v>7</v>
      </c>
      <c r="AH163" s="1"/>
      <c r="AI163" s="6">
        <v>44926</v>
      </c>
    </row>
    <row r="164" spans="1:35" x14ac:dyDescent="0.3">
      <c r="A164" s="1" t="s">
        <v>2250</v>
      </c>
      <c r="B164" s="2" t="str">
        <f>HYPERLINK("https://my.zakupki.prom.ua/remote/dispatcher/state_purchase_view/34695616")</f>
        <v>https://my.zakupki.prom.ua/remote/dispatcher/state_purchase_view/34695616</v>
      </c>
      <c r="C164" s="1" t="s">
        <v>3848</v>
      </c>
      <c r="D164" s="1" t="s">
        <v>454</v>
      </c>
      <c r="E164" s="4">
        <v>2000</v>
      </c>
      <c r="F164" s="5">
        <v>80</v>
      </c>
      <c r="G164" s="1" t="s">
        <v>4883</v>
      </c>
      <c r="H164" s="1" t="s">
        <v>428</v>
      </c>
      <c r="I164" s="1" t="s">
        <v>2446</v>
      </c>
      <c r="J164" s="5">
        <v>160000</v>
      </c>
      <c r="K164" s="1" t="s">
        <v>3394</v>
      </c>
      <c r="L164" s="5">
        <v>1600</v>
      </c>
      <c r="M164" s="1" t="s">
        <v>2308</v>
      </c>
      <c r="N164" s="1" t="s">
        <v>3983</v>
      </c>
      <c r="O164" s="1" t="s">
        <v>2521</v>
      </c>
      <c r="P164" s="1" t="s">
        <v>3956</v>
      </c>
      <c r="Q164" s="1" t="s">
        <v>2796</v>
      </c>
      <c r="R164" s="1" t="s">
        <v>4155</v>
      </c>
      <c r="S164" s="1" t="s">
        <v>4937</v>
      </c>
      <c r="T164" s="6">
        <v>44593</v>
      </c>
      <c r="U164" s="6">
        <v>44599</v>
      </c>
      <c r="V164" s="7">
        <v>0.59930555555555554</v>
      </c>
      <c r="W164" s="6">
        <v>44602</v>
      </c>
      <c r="X164" s="7">
        <v>0</v>
      </c>
      <c r="Y164" s="1" t="s">
        <v>4860</v>
      </c>
      <c r="Z164" s="5">
        <v>340</v>
      </c>
      <c r="AA164" s="1" t="s">
        <v>3403</v>
      </c>
      <c r="AB164" s="1"/>
      <c r="AC164" s="1"/>
      <c r="AD164" s="1"/>
      <c r="AE164" s="1" t="s">
        <v>3776</v>
      </c>
      <c r="AF164" s="1" t="s">
        <v>9</v>
      </c>
      <c r="AG164" s="4">
        <v>6</v>
      </c>
      <c r="AH164" s="1"/>
      <c r="AI164" s="6">
        <v>44923</v>
      </c>
    </row>
    <row r="165" spans="1:35" x14ac:dyDescent="0.3">
      <c r="A165" s="1" t="s">
        <v>2252</v>
      </c>
      <c r="B165" s="2" t="str">
        <f>HYPERLINK("https://my.zakupki.prom.ua/remote/dispatcher/state_purchase_view/34695566")</f>
        <v>https://my.zakupki.prom.ua/remote/dispatcher/state_purchase_view/34695566</v>
      </c>
      <c r="C165" s="1" t="s">
        <v>3422</v>
      </c>
      <c r="D165" s="1" t="s">
        <v>223</v>
      </c>
      <c r="E165" s="1" t="s">
        <v>4903</v>
      </c>
      <c r="F165" s="1" t="s">
        <v>4903</v>
      </c>
      <c r="G165" s="1" t="s">
        <v>4903</v>
      </c>
      <c r="H165" s="1" t="s">
        <v>1000</v>
      </c>
      <c r="I165" s="1" t="s">
        <v>2443</v>
      </c>
      <c r="J165" s="5">
        <v>564488</v>
      </c>
      <c r="K165" s="1" t="s">
        <v>3394</v>
      </c>
      <c r="L165" s="5">
        <v>2822.44</v>
      </c>
      <c r="M165" s="1" t="s">
        <v>2308</v>
      </c>
      <c r="N165" s="1" t="s">
        <v>3983</v>
      </c>
      <c r="O165" s="1" t="s">
        <v>2521</v>
      </c>
      <c r="P165" s="1" t="s">
        <v>2515</v>
      </c>
      <c r="Q165" s="1" t="s">
        <v>3992</v>
      </c>
      <c r="R165" s="1" t="s">
        <v>4276</v>
      </c>
      <c r="S165" s="1" t="s">
        <v>4971</v>
      </c>
      <c r="T165" s="6">
        <v>44593</v>
      </c>
      <c r="U165" s="6">
        <v>44593</v>
      </c>
      <c r="V165" s="7">
        <v>0.6024851489930555</v>
      </c>
      <c r="W165" s="6">
        <v>44609</v>
      </c>
      <c r="X165" s="7">
        <v>0.59652777777777777</v>
      </c>
      <c r="Y165" s="8">
        <v>44610.534131944441</v>
      </c>
      <c r="Z165" s="5">
        <v>510</v>
      </c>
      <c r="AA165" s="1" t="s">
        <v>3403</v>
      </c>
      <c r="AB165" s="1"/>
      <c r="AC165" s="1"/>
      <c r="AD165" s="1"/>
      <c r="AE165" s="1" t="s">
        <v>3765</v>
      </c>
      <c r="AF165" s="1" t="s">
        <v>9</v>
      </c>
      <c r="AG165" s="4">
        <v>2</v>
      </c>
      <c r="AH165" s="1"/>
      <c r="AI165" s="6">
        <v>44926</v>
      </c>
    </row>
    <row r="166" spans="1:35" x14ac:dyDescent="0.3">
      <c r="A166" s="1" t="s">
        <v>2251</v>
      </c>
      <c r="B166" s="2" t="str">
        <f>HYPERLINK("https://my.zakupki.prom.ua/remote/dispatcher/state_purchase_view/34695571")</f>
        <v>https://my.zakupki.prom.ua/remote/dispatcher/state_purchase_view/34695571</v>
      </c>
      <c r="C166" s="1" t="s">
        <v>2783</v>
      </c>
      <c r="D166" s="1" t="s">
        <v>1114</v>
      </c>
      <c r="E166" s="1" t="s">
        <v>4903</v>
      </c>
      <c r="F166" s="1" t="s">
        <v>4903</v>
      </c>
      <c r="G166" s="1" t="s">
        <v>4903</v>
      </c>
      <c r="H166" s="1" t="s">
        <v>755</v>
      </c>
      <c r="I166" s="1" t="s">
        <v>3182</v>
      </c>
      <c r="J166" s="5">
        <v>8290</v>
      </c>
      <c r="K166" s="1" t="s">
        <v>3394</v>
      </c>
      <c r="L166" s="5">
        <v>41.45</v>
      </c>
      <c r="M166" s="1" t="s">
        <v>2308</v>
      </c>
      <c r="N166" s="1" t="s">
        <v>3983</v>
      </c>
      <c r="O166" s="1" t="s">
        <v>2521</v>
      </c>
      <c r="P166" s="1" t="s">
        <v>3956</v>
      </c>
      <c r="Q166" s="1" t="s">
        <v>4834</v>
      </c>
      <c r="R166" s="1" t="s">
        <v>4392</v>
      </c>
      <c r="S166" s="1" t="s">
        <v>4937</v>
      </c>
      <c r="T166" s="6">
        <v>44593</v>
      </c>
      <c r="U166" s="6">
        <v>44599</v>
      </c>
      <c r="V166" s="7">
        <v>0.66666666666666663</v>
      </c>
      <c r="W166" s="6">
        <v>44602</v>
      </c>
      <c r="X166" s="7">
        <v>0.60069444444444442</v>
      </c>
      <c r="Y166" s="1" t="s">
        <v>4860</v>
      </c>
      <c r="Z166" s="5">
        <v>17</v>
      </c>
      <c r="AA166" s="1" t="s">
        <v>3403</v>
      </c>
      <c r="AB166" s="1"/>
      <c r="AC166" s="1"/>
      <c r="AD166" s="1"/>
      <c r="AE166" s="1" t="s">
        <v>3788</v>
      </c>
      <c r="AF166" s="1" t="s">
        <v>9</v>
      </c>
      <c r="AG166" s="1" t="s">
        <v>9</v>
      </c>
      <c r="AH166" s="1"/>
      <c r="AI166" s="6">
        <v>44681</v>
      </c>
    </row>
    <row r="167" spans="1:35" x14ac:dyDescent="0.3">
      <c r="A167" s="1" t="s">
        <v>1516</v>
      </c>
      <c r="B167" s="2" t="str">
        <f>HYPERLINK("https://my.zakupki.prom.ua/remote/dispatcher/state_purchase_view/34695555")</f>
        <v>https://my.zakupki.prom.ua/remote/dispatcher/state_purchase_view/34695555</v>
      </c>
      <c r="C167" s="1" t="s">
        <v>3312</v>
      </c>
      <c r="D167" s="1" t="s">
        <v>780</v>
      </c>
      <c r="E167" s="4">
        <v>1</v>
      </c>
      <c r="F167" s="5">
        <v>16500</v>
      </c>
      <c r="G167" s="1" t="s">
        <v>4989</v>
      </c>
      <c r="H167" s="1" t="s">
        <v>629</v>
      </c>
      <c r="I167" s="1" t="s">
        <v>3156</v>
      </c>
      <c r="J167" s="5">
        <v>16500</v>
      </c>
      <c r="K167" s="1" t="s">
        <v>3394</v>
      </c>
      <c r="L167" s="5">
        <v>82.5</v>
      </c>
      <c r="M167" s="1" t="s">
        <v>2308</v>
      </c>
      <c r="N167" s="1" t="s">
        <v>3983</v>
      </c>
      <c r="O167" s="1" t="s">
        <v>2521</v>
      </c>
      <c r="P167" s="1" t="s">
        <v>2515</v>
      </c>
      <c r="Q167" s="1" t="s">
        <v>3035</v>
      </c>
      <c r="R167" s="1" t="s">
        <v>4548</v>
      </c>
      <c r="S167" s="1" t="s">
        <v>4971</v>
      </c>
      <c r="T167" s="6">
        <v>44593</v>
      </c>
      <c r="U167" s="6">
        <v>44593</v>
      </c>
      <c r="V167" s="7">
        <v>0.59656538870370368</v>
      </c>
      <c r="W167" s="6">
        <v>44609</v>
      </c>
      <c r="X167" s="7">
        <v>0.60002314814814817</v>
      </c>
      <c r="Y167" s="8">
        <v>44610.505891203706</v>
      </c>
      <c r="Z167" s="5">
        <v>17</v>
      </c>
      <c r="AA167" s="1" t="s">
        <v>3403</v>
      </c>
      <c r="AB167" s="1"/>
      <c r="AC167" s="1"/>
      <c r="AD167" s="1"/>
      <c r="AE167" s="1" t="s">
        <v>3788</v>
      </c>
      <c r="AF167" s="1" t="s">
        <v>9</v>
      </c>
      <c r="AG167" s="1" t="s">
        <v>9</v>
      </c>
      <c r="AH167" s="1"/>
      <c r="AI167" s="6">
        <v>44926</v>
      </c>
    </row>
    <row r="168" spans="1:35" x14ac:dyDescent="0.3">
      <c r="A168" s="1" t="s">
        <v>1523</v>
      </c>
      <c r="B168" s="2" t="str">
        <f>HYPERLINK("https://my.zakupki.prom.ua/remote/dispatcher/state_purchase_lot_view/740784")</f>
        <v>https://my.zakupki.prom.ua/remote/dispatcher/state_purchase_lot_view/740784</v>
      </c>
      <c r="C168" s="1" t="s">
        <v>3681</v>
      </c>
      <c r="D168" s="1" t="s">
        <v>610</v>
      </c>
      <c r="E168" s="4">
        <v>15</v>
      </c>
      <c r="F168" s="5">
        <v>13600</v>
      </c>
      <c r="G168" s="1" t="s">
        <v>4981</v>
      </c>
      <c r="H168" s="1" t="s">
        <v>39</v>
      </c>
      <c r="I168" s="1" t="s">
        <v>2909</v>
      </c>
      <c r="J168" s="5">
        <v>359000</v>
      </c>
      <c r="K168" s="5">
        <v>204000</v>
      </c>
      <c r="L168" s="5">
        <v>1020</v>
      </c>
      <c r="M168" s="1" t="s">
        <v>2308</v>
      </c>
      <c r="N168" s="1" t="s">
        <v>3983</v>
      </c>
      <c r="O168" s="1" t="s">
        <v>2521</v>
      </c>
      <c r="P168" s="1" t="s">
        <v>2515</v>
      </c>
      <c r="Q168" s="1" t="s">
        <v>3970</v>
      </c>
      <c r="R168" s="1" t="s">
        <v>4326</v>
      </c>
      <c r="S168" s="1" t="s">
        <v>4971</v>
      </c>
      <c r="T168" s="6">
        <v>44593</v>
      </c>
      <c r="U168" s="6">
        <v>44593</v>
      </c>
      <c r="V168" s="7">
        <v>0.59880888545138888</v>
      </c>
      <c r="W168" s="6">
        <v>44609</v>
      </c>
      <c r="X168" s="7">
        <v>0</v>
      </c>
      <c r="Y168" s="8">
        <v>44609.660243055558</v>
      </c>
      <c r="Z168" s="5">
        <v>510</v>
      </c>
      <c r="AA168" s="1" t="s">
        <v>3403</v>
      </c>
      <c r="AB168" s="1"/>
      <c r="AC168" s="1"/>
      <c r="AD168" s="1"/>
      <c r="AE168" s="1" t="s">
        <v>3788</v>
      </c>
      <c r="AF168" s="1" t="s">
        <v>9</v>
      </c>
      <c r="AG168" s="4">
        <v>3</v>
      </c>
      <c r="AH168" s="1"/>
      <c r="AI168" s="6">
        <v>44926</v>
      </c>
    </row>
    <row r="169" spans="1:35" x14ac:dyDescent="0.3">
      <c r="A169" s="1" t="s">
        <v>1523</v>
      </c>
      <c r="B169" s="2" t="str">
        <f>HYPERLINK("https://my.zakupki.prom.ua/remote/dispatcher/state_purchase_lot_view/740785")</f>
        <v>https://my.zakupki.prom.ua/remote/dispatcher/state_purchase_lot_view/740785</v>
      </c>
      <c r="C169" s="1" t="s">
        <v>3682</v>
      </c>
      <c r="D169" s="1" t="s">
        <v>610</v>
      </c>
      <c r="E169" s="4">
        <v>500</v>
      </c>
      <c r="F169" s="5">
        <v>310</v>
      </c>
      <c r="G169" s="1" t="s">
        <v>4855</v>
      </c>
      <c r="H169" s="1" t="s">
        <v>39</v>
      </c>
      <c r="I169" s="1" t="s">
        <v>2909</v>
      </c>
      <c r="J169" s="5">
        <v>359000</v>
      </c>
      <c r="K169" s="5">
        <v>155000</v>
      </c>
      <c r="L169" s="5">
        <v>775</v>
      </c>
      <c r="M169" s="1" t="s">
        <v>2308</v>
      </c>
      <c r="N169" s="1" t="s">
        <v>3983</v>
      </c>
      <c r="O169" s="1" t="s">
        <v>2521</v>
      </c>
      <c r="P169" s="1" t="s">
        <v>2515</v>
      </c>
      <c r="Q169" s="1" t="s">
        <v>3970</v>
      </c>
      <c r="R169" s="1" t="s">
        <v>4326</v>
      </c>
      <c r="S169" s="1" t="s">
        <v>4971</v>
      </c>
      <c r="T169" s="6">
        <v>44593</v>
      </c>
      <c r="U169" s="6">
        <v>44593</v>
      </c>
      <c r="V169" s="7">
        <v>0.59880888545138888</v>
      </c>
      <c r="W169" s="6">
        <v>44609</v>
      </c>
      <c r="X169" s="7">
        <v>0</v>
      </c>
      <c r="Y169" s="8">
        <v>44609.47724537037</v>
      </c>
      <c r="Z169" s="5">
        <v>340</v>
      </c>
      <c r="AA169" s="1" t="s">
        <v>3403</v>
      </c>
      <c r="AB169" s="1"/>
      <c r="AC169" s="1"/>
      <c r="AD169" s="1"/>
      <c r="AE169" s="1" t="s">
        <v>3801</v>
      </c>
      <c r="AF169" s="1" t="s">
        <v>9</v>
      </c>
      <c r="AG169" s="4">
        <v>3</v>
      </c>
      <c r="AH169" s="1"/>
      <c r="AI169" s="6">
        <v>44926</v>
      </c>
    </row>
    <row r="170" spans="1:35" x14ac:dyDescent="0.3">
      <c r="A170" s="1" t="s">
        <v>1844</v>
      </c>
      <c r="B170" s="2" t="str">
        <f>HYPERLINK("https://my.zakupki.prom.ua/remote/dispatcher/state_purchase_view/34695539")</f>
        <v>https://my.zakupki.prom.ua/remote/dispatcher/state_purchase_view/34695539</v>
      </c>
      <c r="C170" s="1" t="s">
        <v>3545</v>
      </c>
      <c r="D170" s="1" t="s">
        <v>1282</v>
      </c>
      <c r="E170" s="4">
        <v>120</v>
      </c>
      <c r="F170" s="5">
        <v>131.68</v>
      </c>
      <c r="G170" s="1" t="s">
        <v>4921</v>
      </c>
      <c r="H170" s="1" t="s">
        <v>326</v>
      </c>
      <c r="I170" s="1" t="s">
        <v>3972</v>
      </c>
      <c r="J170" s="5">
        <v>15802</v>
      </c>
      <c r="K170" s="1" t="s">
        <v>3394</v>
      </c>
      <c r="L170" s="5">
        <v>79.010000000000005</v>
      </c>
      <c r="M170" s="1" t="s">
        <v>2308</v>
      </c>
      <c r="N170" s="1" t="s">
        <v>3983</v>
      </c>
      <c r="O170" s="1" t="s">
        <v>2521</v>
      </c>
      <c r="P170" s="1" t="s">
        <v>2515</v>
      </c>
      <c r="Q170" s="1" t="s">
        <v>3970</v>
      </c>
      <c r="R170" s="1" t="s">
        <v>4235</v>
      </c>
      <c r="S170" s="1" t="s">
        <v>4971</v>
      </c>
      <c r="T170" s="6">
        <v>44593</v>
      </c>
      <c r="U170" s="6">
        <v>44593</v>
      </c>
      <c r="V170" s="7">
        <v>0.59687474246527772</v>
      </c>
      <c r="W170" s="6">
        <v>44609</v>
      </c>
      <c r="X170" s="7">
        <v>0.41666666666666669</v>
      </c>
      <c r="Y170" s="8">
        <v>44610.526875000003</v>
      </c>
      <c r="Z170" s="5">
        <v>17</v>
      </c>
      <c r="AA170" s="1" t="s">
        <v>3403</v>
      </c>
      <c r="AB170" s="1"/>
      <c r="AC170" s="1"/>
      <c r="AD170" s="1"/>
      <c r="AE170" s="1" t="s">
        <v>3819</v>
      </c>
      <c r="AF170" s="1" t="s">
        <v>9</v>
      </c>
      <c r="AG170" s="4">
        <v>19</v>
      </c>
      <c r="AH170" s="1"/>
      <c r="AI170" s="6">
        <v>44926</v>
      </c>
    </row>
    <row r="171" spans="1:35" x14ac:dyDescent="0.3">
      <c r="A171" s="1" t="s">
        <v>1858</v>
      </c>
      <c r="B171" s="2" t="str">
        <f>HYPERLINK("https://my.zakupki.prom.ua/remote/dispatcher/state_purchase_view/34695528")</f>
        <v>https://my.zakupki.prom.ua/remote/dispatcher/state_purchase_view/34695528</v>
      </c>
      <c r="C171" s="1" t="s">
        <v>2611</v>
      </c>
      <c r="D171" s="1" t="s">
        <v>431</v>
      </c>
      <c r="E171" s="4">
        <v>28650</v>
      </c>
      <c r="F171" s="5">
        <v>6.98</v>
      </c>
      <c r="G171" s="1" t="s">
        <v>4902</v>
      </c>
      <c r="H171" s="1" t="s">
        <v>565</v>
      </c>
      <c r="I171" s="1" t="s">
        <v>3132</v>
      </c>
      <c r="J171" s="5">
        <v>199950</v>
      </c>
      <c r="K171" s="1" t="s">
        <v>3394</v>
      </c>
      <c r="L171" s="5">
        <v>1999.5</v>
      </c>
      <c r="M171" s="1" t="s">
        <v>2308</v>
      </c>
      <c r="N171" s="1" t="s">
        <v>3983</v>
      </c>
      <c r="O171" s="1" t="s">
        <v>2521</v>
      </c>
      <c r="P171" s="1" t="s">
        <v>3956</v>
      </c>
      <c r="Q171" s="1" t="s">
        <v>2761</v>
      </c>
      <c r="R171" s="1" t="s">
        <v>4283</v>
      </c>
      <c r="S171" s="1" t="s">
        <v>4937</v>
      </c>
      <c r="T171" s="6">
        <v>44593</v>
      </c>
      <c r="U171" s="6">
        <v>44599</v>
      </c>
      <c r="V171" s="7">
        <v>0</v>
      </c>
      <c r="W171" s="6">
        <v>44602</v>
      </c>
      <c r="X171" s="7">
        <v>0</v>
      </c>
      <c r="Y171" s="1" t="s">
        <v>4860</v>
      </c>
      <c r="Z171" s="5">
        <v>340</v>
      </c>
      <c r="AA171" s="1" t="s">
        <v>3403</v>
      </c>
      <c r="AB171" s="1"/>
      <c r="AC171" s="1"/>
      <c r="AD171" s="1"/>
      <c r="AE171" s="1" t="s">
        <v>3768</v>
      </c>
      <c r="AF171" s="1" t="s">
        <v>9</v>
      </c>
      <c r="AG171" s="4">
        <v>26</v>
      </c>
      <c r="AH171" s="1"/>
      <c r="AI171" s="6">
        <v>44926</v>
      </c>
    </row>
    <row r="172" spans="1:35" x14ac:dyDescent="0.3">
      <c r="A172" s="1" t="s">
        <v>2235</v>
      </c>
      <c r="B172" s="2" t="str">
        <f>HYPERLINK("https://my.zakupki.prom.ua/remote/dispatcher/state_purchase_view/34695522")</f>
        <v>https://my.zakupki.prom.ua/remote/dispatcher/state_purchase_view/34695522</v>
      </c>
      <c r="C172" s="1" t="s">
        <v>4900</v>
      </c>
      <c r="D172" s="1" t="s">
        <v>458</v>
      </c>
      <c r="E172" s="1" t="s">
        <v>4903</v>
      </c>
      <c r="F172" s="1" t="s">
        <v>4903</v>
      </c>
      <c r="G172" s="1" t="s">
        <v>4903</v>
      </c>
      <c r="H172" s="1" t="s">
        <v>188</v>
      </c>
      <c r="I172" s="1" t="s">
        <v>2999</v>
      </c>
      <c r="J172" s="5">
        <v>153000</v>
      </c>
      <c r="K172" s="1" t="s">
        <v>3394</v>
      </c>
      <c r="L172" s="5">
        <v>800</v>
      </c>
      <c r="M172" s="1" t="s">
        <v>2308</v>
      </c>
      <c r="N172" s="1" t="s">
        <v>3983</v>
      </c>
      <c r="O172" s="1" t="s">
        <v>1131</v>
      </c>
      <c r="P172" s="1" t="s">
        <v>3956</v>
      </c>
      <c r="Q172" s="1" t="s">
        <v>4794</v>
      </c>
      <c r="R172" s="1" t="s">
        <v>4478</v>
      </c>
      <c r="S172" s="1" t="s">
        <v>4937</v>
      </c>
      <c r="T172" s="6">
        <v>44593</v>
      </c>
      <c r="U172" s="6">
        <v>44600</v>
      </c>
      <c r="V172" s="7">
        <v>0</v>
      </c>
      <c r="W172" s="6">
        <v>44603</v>
      </c>
      <c r="X172" s="7">
        <v>0</v>
      </c>
      <c r="Y172" s="1" t="s">
        <v>4860</v>
      </c>
      <c r="Z172" s="5">
        <v>340</v>
      </c>
      <c r="AA172" s="1" t="s">
        <v>3403</v>
      </c>
      <c r="AB172" s="1"/>
      <c r="AC172" s="1"/>
      <c r="AD172" s="1"/>
      <c r="AE172" s="1" t="s">
        <v>3774</v>
      </c>
      <c r="AF172" s="1" t="s">
        <v>9</v>
      </c>
      <c r="AG172" s="1" t="s">
        <v>9</v>
      </c>
      <c r="AH172" s="1"/>
      <c r="AI172" s="6">
        <v>44926</v>
      </c>
    </row>
    <row r="173" spans="1:35" x14ac:dyDescent="0.3">
      <c r="A173" s="1" t="s">
        <v>1526</v>
      </c>
      <c r="B173" s="2" t="str">
        <f>HYPERLINK("https://my.zakupki.prom.ua/remote/dispatcher/state_purchase_view/34695508")</f>
        <v>https://my.zakupki.prom.ua/remote/dispatcher/state_purchase_view/34695508</v>
      </c>
      <c r="C173" s="1" t="s">
        <v>3915</v>
      </c>
      <c r="D173" s="1" t="s">
        <v>476</v>
      </c>
      <c r="E173" s="4">
        <v>785</v>
      </c>
      <c r="F173" s="5">
        <v>70</v>
      </c>
      <c r="G173" s="1" t="s">
        <v>4883</v>
      </c>
      <c r="H173" s="1" t="s">
        <v>318</v>
      </c>
      <c r="I173" s="1" t="s">
        <v>4853</v>
      </c>
      <c r="J173" s="5">
        <v>54950</v>
      </c>
      <c r="K173" s="1" t="s">
        <v>3394</v>
      </c>
      <c r="L173" s="5">
        <v>274.75</v>
      </c>
      <c r="M173" s="1" t="s">
        <v>2308</v>
      </c>
      <c r="N173" s="1" t="s">
        <v>3983</v>
      </c>
      <c r="O173" s="1" t="s">
        <v>2521</v>
      </c>
      <c r="P173" s="1" t="s">
        <v>3956</v>
      </c>
      <c r="Q173" s="1" t="s">
        <v>3504</v>
      </c>
      <c r="R173" s="1" t="s">
        <v>4401</v>
      </c>
      <c r="S173" s="1" t="s">
        <v>4937</v>
      </c>
      <c r="T173" s="6">
        <v>44593</v>
      </c>
      <c r="U173" s="6">
        <v>44599</v>
      </c>
      <c r="V173" s="7">
        <v>0</v>
      </c>
      <c r="W173" s="6">
        <v>44601</v>
      </c>
      <c r="X173" s="7">
        <v>0</v>
      </c>
      <c r="Y173" s="1" t="s">
        <v>4860</v>
      </c>
      <c r="Z173" s="5">
        <v>340</v>
      </c>
      <c r="AA173" s="1" t="s">
        <v>3403</v>
      </c>
      <c r="AB173" s="1"/>
      <c r="AC173" s="1"/>
      <c r="AD173" s="1"/>
      <c r="AE173" s="1" t="s">
        <v>3787</v>
      </c>
      <c r="AF173" s="1" t="s">
        <v>9</v>
      </c>
      <c r="AG173" s="4">
        <v>3</v>
      </c>
      <c r="AH173" s="1"/>
      <c r="AI173" s="6">
        <v>44926</v>
      </c>
    </row>
    <row r="174" spans="1:35" x14ac:dyDescent="0.3">
      <c r="A174" s="1" t="s">
        <v>1846</v>
      </c>
      <c r="B174" s="2" t="str">
        <f>HYPERLINK("https://my.zakupki.prom.ua/remote/dispatcher/state_purchase_view/34695503")</f>
        <v>https://my.zakupki.prom.ua/remote/dispatcher/state_purchase_view/34695503</v>
      </c>
      <c r="C174" s="1" t="s">
        <v>4926</v>
      </c>
      <c r="D174" s="1" t="s">
        <v>1199</v>
      </c>
      <c r="E174" s="4">
        <v>11320</v>
      </c>
      <c r="F174" s="5">
        <v>20</v>
      </c>
      <c r="G174" s="1" t="s">
        <v>4885</v>
      </c>
      <c r="H174" s="1" t="s">
        <v>584</v>
      </c>
      <c r="I174" s="1" t="s">
        <v>3042</v>
      </c>
      <c r="J174" s="5">
        <v>226418</v>
      </c>
      <c r="K174" s="1" t="s">
        <v>3394</v>
      </c>
      <c r="L174" s="5">
        <v>1132.0899999999999</v>
      </c>
      <c r="M174" s="1" t="s">
        <v>2308</v>
      </c>
      <c r="N174" s="1" t="s">
        <v>3983</v>
      </c>
      <c r="O174" s="1" t="s">
        <v>2521</v>
      </c>
      <c r="P174" s="1" t="s">
        <v>2515</v>
      </c>
      <c r="Q174" s="1" t="s">
        <v>3504</v>
      </c>
      <c r="R174" s="1" t="s">
        <v>4369</v>
      </c>
      <c r="S174" s="1" t="s">
        <v>4971</v>
      </c>
      <c r="T174" s="6">
        <v>44593</v>
      </c>
      <c r="U174" s="6">
        <v>44593</v>
      </c>
      <c r="V174" s="7">
        <v>0.5970882335532407</v>
      </c>
      <c r="W174" s="6">
        <v>44609</v>
      </c>
      <c r="X174" s="7">
        <v>0</v>
      </c>
      <c r="Y174" s="8">
        <v>44609.634340277778</v>
      </c>
      <c r="Z174" s="5">
        <v>510</v>
      </c>
      <c r="AA174" s="1" t="s">
        <v>3403</v>
      </c>
      <c r="AB174" s="1"/>
      <c r="AC174" s="1"/>
      <c r="AD174" s="1"/>
      <c r="AE174" s="1" t="s">
        <v>3738</v>
      </c>
      <c r="AF174" s="1" t="s">
        <v>9</v>
      </c>
      <c r="AG174" s="1" t="s">
        <v>9</v>
      </c>
      <c r="AH174" s="1"/>
      <c r="AI174" s="6">
        <v>44926</v>
      </c>
    </row>
    <row r="175" spans="1:35" x14ac:dyDescent="0.3">
      <c r="A175" s="1" t="s">
        <v>1856</v>
      </c>
      <c r="B175" s="2" t="str">
        <f>HYPERLINK("https://my.zakupki.prom.ua/remote/dispatcher/state_purchase_view/34695501")</f>
        <v>https://my.zakupki.prom.ua/remote/dispatcher/state_purchase_view/34695501</v>
      </c>
      <c r="C175" s="1" t="s">
        <v>3352</v>
      </c>
      <c r="D175" s="1" t="s">
        <v>523</v>
      </c>
      <c r="E175" s="4">
        <v>3750</v>
      </c>
      <c r="F175" s="5">
        <v>400</v>
      </c>
      <c r="G175" s="1" t="s">
        <v>4991</v>
      </c>
      <c r="H175" s="1" t="s">
        <v>677</v>
      </c>
      <c r="I175" s="1" t="s">
        <v>3037</v>
      </c>
      <c r="J175" s="5">
        <v>1500000</v>
      </c>
      <c r="K175" s="1" t="s">
        <v>3394</v>
      </c>
      <c r="L175" s="5">
        <v>15000</v>
      </c>
      <c r="M175" s="1" t="s">
        <v>2308</v>
      </c>
      <c r="N175" s="1" t="s">
        <v>3983</v>
      </c>
      <c r="O175" s="1" t="s">
        <v>2521</v>
      </c>
      <c r="P175" s="1" t="s">
        <v>2515</v>
      </c>
      <c r="Q175" s="1" t="s">
        <v>3035</v>
      </c>
      <c r="R175" s="1" t="s">
        <v>4081</v>
      </c>
      <c r="S175" s="1" t="s">
        <v>4971</v>
      </c>
      <c r="T175" s="6">
        <v>44593</v>
      </c>
      <c r="U175" s="6">
        <v>44593</v>
      </c>
      <c r="V175" s="7">
        <v>0.59991985659722225</v>
      </c>
      <c r="W175" s="6">
        <v>44609</v>
      </c>
      <c r="X175" s="7">
        <v>0</v>
      </c>
      <c r="Y175" s="8">
        <v>44609.512418981481</v>
      </c>
      <c r="Z175" s="5">
        <v>1700</v>
      </c>
      <c r="AA175" s="1" t="s">
        <v>3403</v>
      </c>
      <c r="AB175" s="1"/>
      <c r="AC175" s="1"/>
      <c r="AD175" s="1"/>
      <c r="AE175" s="1" t="s">
        <v>3765</v>
      </c>
      <c r="AF175" s="1" t="s">
        <v>9</v>
      </c>
      <c r="AG175" s="4">
        <v>4</v>
      </c>
      <c r="AH175" s="6">
        <v>44625</v>
      </c>
      <c r="AI175" s="6">
        <v>44910</v>
      </c>
    </row>
    <row r="176" spans="1:35" x14ac:dyDescent="0.3">
      <c r="A176" s="1" t="s">
        <v>1472</v>
      </c>
      <c r="B176" s="2" t="str">
        <f>HYPERLINK("https://my.zakupki.prom.ua/remote/dispatcher/state_purchase_view/34695493")</f>
        <v>https://my.zakupki.prom.ua/remote/dispatcher/state_purchase_view/34695493</v>
      </c>
      <c r="C176" s="1" t="s">
        <v>3689</v>
      </c>
      <c r="D176" s="1" t="s">
        <v>812</v>
      </c>
      <c r="E176" s="4">
        <v>12900</v>
      </c>
      <c r="F176" s="5">
        <v>15.5</v>
      </c>
      <c r="G176" s="1" t="s">
        <v>4989</v>
      </c>
      <c r="H176" s="1" t="s">
        <v>184</v>
      </c>
      <c r="I176" s="1" t="s">
        <v>2843</v>
      </c>
      <c r="J176" s="5">
        <v>199950</v>
      </c>
      <c r="K176" s="1" t="s">
        <v>3394</v>
      </c>
      <c r="L176" s="5">
        <v>1999.5</v>
      </c>
      <c r="M176" s="1" t="s">
        <v>2308</v>
      </c>
      <c r="N176" s="1" t="s">
        <v>3983</v>
      </c>
      <c r="O176" s="1" t="s">
        <v>2521</v>
      </c>
      <c r="P176" s="1" t="s">
        <v>3956</v>
      </c>
      <c r="Q176" s="1" t="s">
        <v>3264</v>
      </c>
      <c r="R176" s="1" t="s">
        <v>4566</v>
      </c>
      <c r="S176" s="1" t="s">
        <v>4937</v>
      </c>
      <c r="T176" s="6">
        <v>44593</v>
      </c>
      <c r="U176" s="6">
        <v>44599</v>
      </c>
      <c r="V176" s="7">
        <v>0.41666666666666669</v>
      </c>
      <c r="W176" s="6">
        <v>44602</v>
      </c>
      <c r="X176" s="7">
        <v>0.375</v>
      </c>
      <c r="Y176" s="1" t="s">
        <v>4860</v>
      </c>
      <c r="Z176" s="5">
        <v>340</v>
      </c>
      <c r="AA176" s="1" t="s">
        <v>3403</v>
      </c>
      <c r="AB176" s="1"/>
      <c r="AC176" s="1"/>
      <c r="AD176" s="1"/>
      <c r="AE176" s="1" t="s">
        <v>3788</v>
      </c>
      <c r="AF176" s="1" t="s">
        <v>9</v>
      </c>
      <c r="AG176" s="4">
        <v>1</v>
      </c>
      <c r="AH176" s="1"/>
      <c r="AI176" s="6">
        <v>44926</v>
      </c>
    </row>
    <row r="177" spans="1:35" x14ac:dyDescent="0.3">
      <c r="A177" s="1" t="s">
        <v>1828</v>
      </c>
      <c r="B177" s="2" t="str">
        <f>HYPERLINK("https://my.zakupki.prom.ua/remote/dispatcher/state_purchase_view/34695488")</f>
        <v>https://my.zakupki.prom.ua/remote/dispatcher/state_purchase_view/34695488</v>
      </c>
      <c r="C177" s="1" t="s">
        <v>3292</v>
      </c>
      <c r="D177" s="1" t="s">
        <v>505</v>
      </c>
      <c r="E177" s="4">
        <v>2872</v>
      </c>
      <c r="F177" s="5">
        <v>35.01</v>
      </c>
      <c r="G177" s="1" t="s">
        <v>4883</v>
      </c>
      <c r="H177" s="1" t="s">
        <v>203</v>
      </c>
      <c r="I177" s="1" t="s">
        <v>3003</v>
      </c>
      <c r="J177" s="5">
        <v>100552</v>
      </c>
      <c r="K177" s="1" t="s">
        <v>3394</v>
      </c>
      <c r="L177" s="5">
        <v>1005.52</v>
      </c>
      <c r="M177" s="1" t="s">
        <v>2308</v>
      </c>
      <c r="N177" s="1" t="s">
        <v>3983</v>
      </c>
      <c r="O177" s="1" t="s">
        <v>2521</v>
      </c>
      <c r="P177" s="1" t="s">
        <v>3956</v>
      </c>
      <c r="Q177" s="1" t="s">
        <v>2761</v>
      </c>
      <c r="R177" s="1" t="s">
        <v>4529</v>
      </c>
      <c r="S177" s="1" t="s">
        <v>4937</v>
      </c>
      <c r="T177" s="6">
        <v>44593</v>
      </c>
      <c r="U177" s="6">
        <v>44599</v>
      </c>
      <c r="V177" s="7">
        <v>4.1666666666666664E-2</v>
      </c>
      <c r="W177" s="6">
        <v>44602</v>
      </c>
      <c r="X177" s="7">
        <v>4.1666666666666664E-2</v>
      </c>
      <c r="Y177" s="1" t="s">
        <v>4860</v>
      </c>
      <c r="Z177" s="5">
        <v>340</v>
      </c>
      <c r="AA177" s="1" t="s">
        <v>3403</v>
      </c>
      <c r="AB177" s="1"/>
      <c r="AC177" s="1"/>
      <c r="AD177" s="1"/>
      <c r="AE177" s="1" t="s">
        <v>3788</v>
      </c>
      <c r="AF177" s="1" t="s">
        <v>9</v>
      </c>
      <c r="AG177" s="4">
        <v>24</v>
      </c>
      <c r="AH177" s="1"/>
      <c r="AI177" s="6">
        <v>44926</v>
      </c>
    </row>
    <row r="178" spans="1:35" x14ac:dyDescent="0.3">
      <c r="A178" s="1" t="s">
        <v>1862</v>
      </c>
      <c r="B178" s="2" t="str">
        <f>HYPERLINK("https://my.zakupki.prom.ua/remote/dispatcher/state_purchase_view/34695474")</f>
        <v>https://my.zakupki.prom.ua/remote/dispatcher/state_purchase_view/34695474</v>
      </c>
      <c r="C178" s="1" t="s">
        <v>3967</v>
      </c>
      <c r="D178" s="1" t="s">
        <v>582</v>
      </c>
      <c r="E178" s="4">
        <v>500</v>
      </c>
      <c r="F178" s="5">
        <v>96</v>
      </c>
      <c r="G178" s="1" t="s">
        <v>4991</v>
      </c>
      <c r="H178" s="1" t="s">
        <v>328</v>
      </c>
      <c r="I178" s="1" t="s">
        <v>2811</v>
      </c>
      <c r="J178" s="5">
        <v>48000</v>
      </c>
      <c r="K178" s="1" t="s">
        <v>3394</v>
      </c>
      <c r="L178" s="5">
        <v>480</v>
      </c>
      <c r="M178" s="1" t="s">
        <v>2308</v>
      </c>
      <c r="N178" s="1" t="s">
        <v>3983</v>
      </c>
      <c r="O178" s="1" t="s">
        <v>2521</v>
      </c>
      <c r="P178" s="1" t="s">
        <v>3956</v>
      </c>
      <c r="Q178" s="1" t="s">
        <v>3035</v>
      </c>
      <c r="R178" s="1" t="s">
        <v>4248</v>
      </c>
      <c r="S178" s="1" t="s">
        <v>4937</v>
      </c>
      <c r="T178" s="6">
        <v>44593</v>
      </c>
      <c r="U178" s="6">
        <v>44599</v>
      </c>
      <c r="V178" s="7">
        <v>0.41666666666666669</v>
      </c>
      <c r="W178" s="6">
        <v>44602</v>
      </c>
      <c r="X178" s="7">
        <v>0.41666666666666669</v>
      </c>
      <c r="Y178" s="1" t="s">
        <v>4860</v>
      </c>
      <c r="Z178" s="5">
        <v>119</v>
      </c>
      <c r="AA178" s="1" t="s">
        <v>3403</v>
      </c>
      <c r="AB178" s="1"/>
      <c r="AC178" s="1"/>
      <c r="AD178" s="1"/>
      <c r="AE178" s="1" t="s">
        <v>3773</v>
      </c>
      <c r="AF178" s="1" t="s">
        <v>9</v>
      </c>
      <c r="AG178" s="4">
        <v>4</v>
      </c>
      <c r="AH178" s="1"/>
      <c r="AI178" s="6">
        <v>44926</v>
      </c>
    </row>
    <row r="179" spans="1:35" x14ac:dyDescent="0.3">
      <c r="A179" s="1" t="s">
        <v>2009</v>
      </c>
      <c r="B179" s="2" t="str">
        <f>HYPERLINK("https://my.zakupki.prom.ua/remote/dispatcher/state_purchase_view/34695456")</f>
        <v>https://my.zakupki.prom.ua/remote/dispatcher/state_purchase_view/34695456</v>
      </c>
      <c r="C179" s="1" t="s">
        <v>3023</v>
      </c>
      <c r="D179" s="1" t="s">
        <v>210</v>
      </c>
      <c r="E179" s="1" t="s">
        <v>4903</v>
      </c>
      <c r="F179" s="1" t="s">
        <v>4903</v>
      </c>
      <c r="G179" s="1" t="s">
        <v>4903</v>
      </c>
      <c r="H179" s="1" t="s">
        <v>308</v>
      </c>
      <c r="I179" s="1" t="s">
        <v>4835</v>
      </c>
      <c r="J179" s="5">
        <v>102000</v>
      </c>
      <c r="K179" s="1" t="s">
        <v>3394</v>
      </c>
      <c r="L179" s="5">
        <v>510</v>
      </c>
      <c r="M179" s="1" t="s">
        <v>2308</v>
      </c>
      <c r="N179" s="1" t="s">
        <v>3983</v>
      </c>
      <c r="O179" s="1" t="s">
        <v>2521</v>
      </c>
      <c r="P179" s="1" t="s">
        <v>3956</v>
      </c>
      <c r="Q179" s="1" t="s">
        <v>4805</v>
      </c>
      <c r="R179" s="1" t="s">
        <v>4631</v>
      </c>
      <c r="S179" s="1" t="s">
        <v>4937</v>
      </c>
      <c r="T179" s="6">
        <v>44593</v>
      </c>
      <c r="U179" s="6">
        <v>44599</v>
      </c>
      <c r="V179" s="7">
        <v>0.5207060185185185</v>
      </c>
      <c r="W179" s="6">
        <v>44602</v>
      </c>
      <c r="X179" s="7">
        <v>0</v>
      </c>
      <c r="Y179" s="1" t="s">
        <v>4860</v>
      </c>
      <c r="Z179" s="5">
        <v>340</v>
      </c>
      <c r="AA179" s="1" t="s">
        <v>3403</v>
      </c>
      <c r="AB179" s="1"/>
      <c r="AC179" s="1"/>
      <c r="AD179" s="1"/>
      <c r="AE179" s="1" t="s">
        <v>3787</v>
      </c>
      <c r="AF179" s="1" t="s">
        <v>9</v>
      </c>
      <c r="AG179" s="4">
        <v>1</v>
      </c>
      <c r="AH179" s="1"/>
      <c r="AI179" s="6">
        <v>44926</v>
      </c>
    </row>
    <row r="180" spans="1:35" x14ac:dyDescent="0.3">
      <c r="A180" s="1" t="s">
        <v>1507</v>
      </c>
      <c r="B180" s="2" t="str">
        <f>HYPERLINK("https://my.zakupki.prom.ua/remote/dispatcher/state_purchase_lot_view/740782")</f>
        <v>https://my.zakupki.prom.ua/remote/dispatcher/state_purchase_lot_view/740782</v>
      </c>
      <c r="C180" s="1" t="s">
        <v>2472</v>
      </c>
      <c r="D180" s="1" t="s">
        <v>474</v>
      </c>
      <c r="E180" s="4">
        <v>477</v>
      </c>
      <c r="F180" s="5">
        <v>207</v>
      </c>
      <c r="G180" s="1" t="s">
        <v>4883</v>
      </c>
      <c r="H180" s="1" t="s">
        <v>997</v>
      </c>
      <c r="I180" s="1" t="s">
        <v>4751</v>
      </c>
      <c r="J180" s="5">
        <v>281313</v>
      </c>
      <c r="K180" s="5">
        <v>98739</v>
      </c>
      <c r="L180" s="5">
        <v>500</v>
      </c>
      <c r="M180" s="1" t="s">
        <v>2308</v>
      </c>
      <c r="N180" s="1" t="s">
        <v>3983</v>
      </c>
      <c r="O180" s="1" t="s">
        <v>2521</v>
      </c>
      <c r="P180" s="1" t="s">
        <v>2515</v>
      </c>
      <c r="Q180" s="1" t="s">
        <v>4834</v>
      </c>
      <c r="R180" s="1" t="s">
        <v>4712</v>
      </c>
      <c r="S180" s="1" t="s">
        <v>4971</v>
      </c>
      <c r="T180" s="6">
        <v>44593</v>
      </c>
      <c r="U180" s="6">
        <v>44593</v>
      </c>
      <c r="V180" s="7">
        <v>0.59151760796296293</v>
      </c>
      <c r="W180" s="6">
        <v>44609</v>
      </c>
      <c r="X180" s="7">
        <v>0.5</v>
      </c>
      <c r="Y180" s="8">
        <v>44610.467743055553</v>
      </c>
      <c r="Z180" s="5">
        <v>340</v>
      </c>
      <c r="AA180" s="1" t="s">
        <v>3403</v>
      </c>
      <c r="AB180" s="1"/>
      <c r="AC180" s="1"/>
      <c r="AD180" s="1"/>
      <c r="AE180" s="1" t="s">
        <v>3776</v>
      </c>
      <c r="AF180" s="1" t="s">
        <v>9</v>
      </c>
      <c r="AG180" s="4">
        <v>5</v>
      </c>
      <c r="AH180" s="1"/>
      <c r="AI180" s="6">
        <v>44926</v>
      </c>
    </row>
    <row r="181" spans="1:35" x14ac:dyDescent="0.3">
      <c r="A181" s="1" t="s">
        <v>1507</v>
      </c>
      <c r="B181" s="2" t="str">
        <f>HYPERLINK("https://my.zakupki.prom.ua/remote/dispatcher/state_purchase_lot_view/740783")</f>
        <v>https://my.zakupki.prom.ua/remote/dispatcher/state_purchase_lot_view/740783</v>
      </c>
      <c r="C181" s="1" t="s">
        <v>2473</v>
      </c>
      <c r="D181" s="1" t="s">
        <v>474</v>
      </c>
      <c r="E181" s="4">
        <v>882</v>
      </c>
      <c r="F181" s="5">
        <v>207</v>
      </c>
      <c r="G181" s="1" t="s">
        <v>4883</v>
      </c>
      <c r="H181" s="1" t="s">
        <v>997</v>
      </c>
      <c r="I181" s="1" t="s">
        <v>4751</v>
      </c>
      <c r="J181" s="5">
        <v>281313</v>
      </c>
      <c r="K181" s="5">
        <v>182574</v>
      </c>
      <c r="L181" s="5">
        <v>913</v>
      </c>
      <c r="M181" s="1" t="s">
        <v>2308</v>
      </c>
      <c r="N181" s="1" t="s">
        <v>3983</v>
      </c>
      <c r="O181" s="1" t="s">
        <v>2521</v>
      </c>
      <c r="P181" s="1" t="s">
        <v>2515</v>
      </c>
      <c r="Q181" s="1" t="s">
        <v>4834</v>
      </c>
      <c r="R181" s="1" t="s">
        <v>4712</v>
      </c>
      <c r="S181" s="1" t="s">
        <v>4971</v>
      </c>
      <c r="T181" s="6">
        <v>44593</v>
      </c>
      <c r="U181" s="6">
        <v>44593</v>
      </c>
      <c r="V181" s="7">
        <v>0.59151760796296293</v>
      </c>
      <c r="W181" s="6">
        <v>44609</v>
      </c>
      <c r="X181" s="7">
        <v>0.5</v>
      </c>
      <c r="Y181" s="8">
        <v>44610.479560185187</v>
      </c>
      <c r="Z181" s="5">
        <v>340</v>
      </c>
      <c r="AA181" s="1" t="s">
        <v>3403</v>
      </c>
      <c r="AB181" s="1"/>
      <c r="AC181" s="1"/>
      <c r="AD181" s="1"/>
      <c r="AE181" s="1" t="s">
        <v>3776</v>
      </c>
      <c r="AF181" s="1" t="s">
        <v>9</v>
      </c>
      <c r="AG181" s="4">
        <v>5</v>
      </c>
      <c r="AH181" s="1"/>
      <c r="AI181" s="6">
        <v>44926</v>
      </c>
    </row>
    <row r="182" spans="1:35" x14ac:dyDescent="0.3">
      <c r="A182" s="1" t="s">
        <v>1525</v>
      </c>
      <c r="B182" s="2" t="str">
        <f>HYPERLINK("https://my.zakupki.prom.ua/remote/dispatcher/state_purchase_view/34695444")</f>
        <v>https://my.zakupki.prom.ua/remote/dispatcher/state_purchase_view/34695444</v>
      </c>
      <c r="C182" s="1" t="s">
        <v>2336</v>
      </c>
      <c r="D182" s="1" t="s">
        <v>1124</v>
      </c>
      <c r="E182" s="4">
        <v>2631</v>
      </c>
      <c r="F182" s="5">
        <v>120.67</v>
      </c>
      <c r="G182" s="1" t="s">
        <v>4990</v>
      </c>
      <c r="H182" s="1" t="s">
        <v>244</v>
      </c>
      <c r="I182" s="1" t="s">
        <v>2342</v>
      </c>
      <c r="J182" s="5">
        <v>317490</v>
      </c>
      <c r="K182" s="1" t="s">
        <v>3394</v>
      </c>
      <c r="L182" s="5">
        <v>1587.45</v>
      </c>
      <c r="M182" s="1" t="s">
        <v>2308</v>
      </c>
      <c r="N182" s="1" t="s">
        <v>3983</v>
      </c>
      <c r="O182" s="1" t="s">
        <v>2521</v>
      </c>
      <c r="P182" s="1" t="s">
        <v>3956</v>
      </c>
      <c r="Q182" s="1" t="s">
        <v>2756</v>
      </c>
      <c r="R182" s="1" t="s">
        <v>4095</v>
      </c>
      <c r="S182" s="1" t="s">
        <v>4937</v>
      </c>
      <c r="T182" s="6">
        <v>44593</v>
      </c>
      <c r="U182" s="6">
        <v>44599</v>
      </c>
      <c r="V182" s="7">
        <v>0.625</v>
      </c>
      <c r="W182" s="6">
        <v>44602</v>
      </c>
      <c r="X182" s="7">
        <v>0.625</v>
      </c>
      <c r="Y182" s="1" t="s">
        <v>4860</v>
      </c>
      <c r="Z182" s="5">
        <v>510</v>
      </c>
      <c r="AA182" s="1" t="s">
        <v>3403</v>
      </c>
      <c r="AB182" s="1"/>
      <c r="AC182" s="1"/>
      <c r="AD182" s="1"/>
      <c r="AE182" s="1" t="s">
        <v>3787</v>
      </c>
      <c r="AF182" s="1" t="s">
        <v>9</v>
      </c>
      <c r="AG182" s="4">
        <v>8</v>
      </c>
      <c r="AH182" s="6">
        <v>44590</v>
      </c>
      <c r="AI182" s="6">
        <v>44620</v>
      </c>
    </row>
    <row r="183" spans="1:35" x14ac:dyDescent="0.3">
      <c r="A183" s="1" t="s">
        <v>1518</v>
      </c>
      <c r="B183" s="2" t="str">
        <f>HYPERLINK("https://my.zakupki.prom.ua/remote/dispatcher/state_purchase_view/34695440")</f>
        <v>https://my.zakupki.prom.ua/remote/dispatcher/state_purchase_view/34695440</v>
      </c>
      <c r="C183" s="1" t="s">
        <v>3861</v>
      </c>
      <c r="D183" s="1" t="s">
        <v>1144</v>
      </c>
      <c r="E183" s="4">
        <v>1</v>
      </c>
      <c r="F183" s="5">
        <v>1790000</v>
      </c>
      <c r="G183" s="1" t="s">
        <v>4975</v>
      </c>
      <c r="H183" s="1" t="s">
        <v>340</v>
      </c>
      <c r="I183" s="1" t="s">
        <v>3125</v>
      </c>
      <c r="J183" s="5">
        <v>1790000</v>
      </c>
      <c r="K183" s="1" t="s">
        <v>3394</v>
      </c>
      <c r="L183" s="5">
        <v>8950</v>
      </c>
      <c r="M183" s="1" t="s">
        <v>2308</v>
      </c>
      <c r="N183" s="1" t="s">
        <v>3983</v>
      </c>
      <c r="O183" s="1" t="s">
        <v>2521</v>
      </c>
      <c r="P183" s="1" t="s">
        <v>3956</v>
      </c>
      <c r="Q183" s="1" t="s">
        <v>2820</v>
      </c>
      <c r="R183" s="1" t="s">
        <v>4409</v>
      </c>
      <c r="S183" s="1" t="s">
        <v>4937</v>
      </c>
      <c r="T183" s="6">
        <v>44593</v>
      </c>
      <c r="U183" s="6">
        <v>44599</v>
      </c>
      <c r="V183" s="7">
        <v>0.41666666666666669</v>
      </c>
      <c r="W183" s="6">
        <v>44602</v>
      </c>
      <c r="X183" s="7">
        <v>0.41666666666666669</v>
      </c>
      <c r="Y183" s="1" t="s">
        <v>4860</v>
      </c>
      <c r="Z183" s="5">
        <v>1700</v>
      </c>
      <c r="AA183" s="1" t="s">
        <v>3403</v>
      </c>
      <c r="AB183" s="1"/>
      <c r="AC183" s="1"/>
      <c r="AD183" s="1"/>
      <c r="AE183" s="1" t="s">
        <v>3704</v>
      </c>
      <c r="AF183" s="1" t="s">
        <v>9</v>
      </c>
      <c r="AG183" s="4">
        <v>4</v>
      </c>
      <c r="AH183" s="1"/>
      <c r="AI183" s="6">
        <v>44926</v>
      </c>
    </row>
    <row r="184" spans="1:35" x14ac:dyDescent="0.3">
      <c r="A184" s="1" t="s">
        <v>2249</v>
      </c>
      <c r="B184" s="2" t="str">
        <f>HYPERLINK("https://my.zakupki.prom.ua/remote/dispatcher/state_purchase_view/34695426")</f>
        <v>https://my.zakupki.prom.ua/remote/dispatcher/state_purchase_view/34695426</v>
      </c>
      <c r="C184" s="1" t="s">
        <v>3498</v>
      </c>
      <c r="D184" s="1" t="s">
        <v>1168</v>
      </c>
      <c r="E184" s="4">
        <v>33</v>
      </c>
      <c r="F184" s="5">
        <v>3106.06</v>
      </c>
      <c r="G184" s="1" t="s">
        <v>4940</v>
      </c>
      <c r="H184" s="1" t="s">
        <v>255</v>
      </c>
      <c r="I184" s="1" t="s">
        <v>3289</v>
      </c>
      <c r="J184" s="5">
        <v>102500</v>
      </c>
      <c r="K184" s="1" t="s">
        <v>3394</v>
      </c>
      <c r="L184" s="5">
        <v>1025</v>
      </c>
      <c r="M184" s="1" t="s">
        <v>2308</v>
      </c>
      <c r="N184" s="1" t="s">
        <v>3983</v>
      </c>
      <c r="O184" s="1" t="s">
        <v>2521</v>
      </c>
      <c r="P184" s="1" t="s">
        <v>3956</v>
      </c>
      <c r="Q184" s="1" t="s">
        <v>4805</v>
      </c>
      <c r="R184" s="1" t="s">
        <v>4517</v>
      </c>
      <c r="S184" s="1" t="s">
        <v>4937</v>
      </c>
      <c r="T184" s="6">
        <v>44593</v>
      </c>
      <c r="U184" s="6">
        <v>44599</v>
      </c>
      <c r="V184" s="7">
        <v>0.83333333333333337</v>
      </c>
      <c r="W184" s="6">
        <v>44602</v>
      </c>
      <c r="X184" s="7">
        <v>0</v>
      </c>
      <c r="Y184" s="1" t="s">
        <v>4860</v>
      </c>
      <c r="Z184" s="5">
        <v>340</v>
      </c>
      <c r="AA184" s="1" t="s">
        <v>3403</v>
      </c>
      <c r="AB184" s="1"/>
      <c r="AC184" s="1"/>
      <c r="AD184" s="1"/>
      <c r="AE184" s="1" t="s">
        <v>3759</v>
      </c>
      <c r="AF184" s="1" t="s">
        <v>9</v>
      </c>
      <c r="AG184" s="4">
        <v>11</v>
      </c>
      <c r="AH184" s="1"/>
      <c r="AI184" s="6">
        <v>44926</v>
      </c>
    </row>
    <row r="185" spans="1:35" x14ac:dyDescent="0.3">
      <c r="A185" s="1" t="s">
        <v>2248</v>
      </c>
      <c r="B185" s="2" t="str">
        <f>HYPERLINK("https://my.zakupki.prom.ua/remote/dispatcher/state_purchase_view/34694678")</f>
        <v>https://my.zakupki.prom.ua/remote/dispatcher/state_purchase_view/34694678</v>
      </c>
      <c r="C185" s="1" t="s">
        <v>2407</v>
      </c>
      <c r="D185" s="1" t="s">
        <v>377</v>
      </c>
      <c r="E185" s="1" t="s">
        <v>4903</v>
      </c>
      <c r="F185" s="1" t="s">
        <v>4903</v>
      </c>
      <c r="G185" s="1" t="s">
        <v>4903</v>
      </c>
      <c r="H185" s="1" t="s">
        <v>1096</v>
      </c>
      <c r="I185" s="1" t="s">
        <v>2441</v>
      </c>
      <c r="J185" s="5">
        <v>875178</v>
      </c>
      <c r="K185" s="1" t="s">
        <v>3394</v>
      </c>
      <c r="L185" s="5">
        <v>4376</v>
      </c>
      <c r="M185" s="1" t="s">
        <v>2308</v>
      </c>
      <c r="N185" s="1" t="s">
        <v>3983</v>
      </c>
      <c r="O185" s="1" t="s">
        <v>2521</v>
      </c>
      <c r="P185" s="1" t="s">
        <v>2515</v>
      </c>
      <c r="Q185" s="1" t="s">
        <v>2796</v>
      </c>
      <c r="R185" s="1" t="s">
        <v>4621</v>
      </c>
      <c r="S185" s="1" t="s">
        <v>4971</v>
      </c>
      <c r="T185" s="6">
        <v>44593</v>
      </c>
      <c r="U185" s="6">
        <v>44593</v>
      </c>
      <c r="V185" s="7">
        <v>0.60116327423611104</v>
      </c>
      <c r="W185" s="6">
        <v>44609</v>
      </c>
      <c r="X185" s="7">
        <v>0.75</v>
      </c>
      <c r="Y185" s="8">
        <v>44610.658113425925</v>
      </c>
      <c r="Z185" s="5">
        <v>510</v>
      </c>
      <c r="AA185" s="1" t="s">
        <v>3403</v>
      </c>
      <c r="AB185" s="1"/>
      <c r="AC185" s="1"/>
      <c r="AD185" s="1"/>
      <c r="AE185" s="1" t="s">
        <v>3774</v>
      </c>
      <c r="AF185" s="1" t="s">
        <v>9</v>
      </c>
      <c r="AG185" s="1" t="s">
        <v>9</v>
      </c>
      <c r="AH185" s="1"/>
      <c r="AI185" s="6">
        <v>44926</v>
      </c>
    </row>
    <row r="186" spans="1:35" x14ac:dyDescent="0.3">
      <c r="A186" s="1" t="s">
        <v>2246</v>
      </c>
      <c r="B186" s="2" t="str">
        <f>HYPERLINK("https://my.zakupki.prom.ua/remote/dispatcher/state_purchase_view/34695335")</f>
        <v>https://my.zakupki.prom.ua/remote/dispatcher/state_purchase_view/34695335</v>
      </c>
      <c r="C186" s="1" t="s">
        <v>2824</v>
      </c>
      <c r="D186" s="1" t="s">
        <v>1237</v>
      </c>
      <c r="E186" s="4">
        <v>1</v>
      </c>
      <c r="F186" s="5">
        <v>616928</v>
      </c>
      <c r="G186" s="1" t="s">
        <v>4940</v>
      </c>
      <c r="H186" s="1" t="s">
        <v>680</v>
      </c>
      <c r="I186" s="1" t="s">
        <v>4722</v>
      </c>
      <c r="J186" s="5">
        <v>616928</v>
      </c>
      <c r="K186" s="1" t="s">
        <v>3394</v>
      </c>
      <c r="L186" s="5">
        <v>6169.28</v>
      </c>
      <c r="M186" s="1" t="s">
        <v>2308</v>
      </c>
      <c r="N186" s="1" t="s">
        <v>3983</v>
      </c>
      <c r="O186" s="1" t="s">
        <v>2521</v>
      </c>
      <c r="P186" s="1" t="s">
        <v>2515</v>
      </c>
      <c r="Q186" s="1" t="s">
        <v>2756</v>
      </c>
      <c r="R186" s="1" t="s">
        <v>4706</v>
      </c>
      <c r="S186" s="1" t="s">
        <v>4971</v>
      </c>
      <c r="T186" s="6">
        <v>44593</v>
      </c>
      <c r="U186" s="6">
        <v>44593</v>
      </c>
      <c r="V186" s="7">
        <v>0.60075305482638885</v>
      </c>
      <c r="W186" s="6">
        <v>44609</v>
      </c>
      <c r="X186" s="7">
        <v>0</v>
      </c>
      <c r="Y186" s="8">
        <v>44609.485844907409</v>
      </c>
      <c r="Z186" s="5">
        <v>510</v>
      </c>
      <c r="AA186" s="1" t="s">
        <v>3403</v>
      </c>
      <c r="AB186" s="1"/>
      <c r="AC186" s="1"/>
      <c r="AD186" s="1"/>
      <c r="AE186" s="1" t="s">
        <v>3728</v>
      </c>
      <c r="AF186" s="1" t="s">
        <v>9</v>
      </c>
      <c r="AG186" s="4">
        <v>17</v>
      </c>
      <c r="AH186" s="1"/>
      <c r="AI186" s="6">
        <v>44926</v>
      </c>
    </row>
    <row r="187" spans="1:35" x14ac:dyDescent="0.3">
      <c r="A187" s="1" t="s">
        <v>2245</v>
      </c>
      <c r="B187" s="2" t="str">
        <f>HYPERLINK("https://my.zakupki.prom.ua/remote/dispatcher/state_purchase_view/34695275")</f>
        <v>https://my.zakupki.prom.ua/remote/dispatcher/state_purchase_view/34695275</v>
      </c>
      <c r="C187" s="1" t="s">
        <v>2661</v>
      </c>
      <c r="D187" s="1" t="s">
        <v>510</v>
      </c>
      <c r="E187" s="4">
        <v>55</v>
      </c>
      <c r="F187" s="5">
        <v>23895</v>
      </c>
      <c r="G187" s="1" t="s">
        <v>4857</v>
      </c>
      <c r="H187" s="1" t="s">
        <v>103</v>
      </c>
      <c r="I187" s="1" t="s">
        <v>3126</v>
      </c>
      <c r="J187" s="5">
        <v>1314225</v>
      </c>
      <c r="K187" s="1" t="s">
        <v>3394</v>
      </c>
      <c r="L187" s="5">
        <v>6571.13</v>
      </c>
      <c r="M187" s="1" t="s">
        <v>2308</v>
      </c>
      <c r="N187" s="1" t="s">
        <v>3983</v>
      </c>
      <c r="O187" s="1" t="s">
        <v>2521</v>
      </c>
      <c r="P187" s="1" t="s">
        <v>2515</v>
      </c>
      <c r="Q187" s="1" t="s">
        <v>4794</v>
      </c>
      <c r="R187" s="1" t="s">
        <v>4684</v>
      </c>
      <c r="S187" s="1" t="s">
        <v>4971</v>
      </c>
      <c r="T187" s="6">
        <v>44593</v>
      </c>
      <c r="U187" s="6">
        <v>44593</v>
      </c>
      <c r="V187" s="7">
        <v>0.5996563884490741</v>
      </c>
      <c r="W187" s="6">
        <v>44609</v>
      </c>
      <c r="X187" s="7">
        <v>0.70833333333333337</v>
      </c>
      <c r="Y187" s="8">
        <v>44610.544560185182</v>
      </c>
      <c r="Z187" s="5">
        <v>1700</v>
      </c>
      <c r="AA187" s="1" t="s">
        <v>3403</v>
      </c>
      <c r="AB187" s="1"/>
      <c r="AC187" s="1"/>
      <c r="AD187" s="1"/>
      <c r="AE187" s="1" t="s">
        <v>3788</v>
      </c>
      <c r="AF187" s="1" t="s">
        <v>9</v>
      </c>
      <c r="AG187" s="4">
        <v>6</v>
      </c>
      <c r="AH187" s="1"/>
      <c r="AI187" s="6">
        <v>44926</v>
      </c>
    </row>
    <row r="188" spans="1:35" x14ac:dyDescent="0.3">
      <c r="A188" s="1" t="s">
        <v>2244</v>
      </c>
      <c r="B188" s="2" t="str">
        <f>HYPERLINK("https://my.zakupki.prom.ua/remote/dispatcher/state_purchase_view/34695266")</f>
        <v>https://my.zakupki.prom.ua/remote/dispatcher/state_purchase_view/34695266</v>
      </c>
      <c r="C188" s="1" t="s">
        <v>2629</v>
      </c>
      <c r="D188" s="1" t="s">
        <v>1200</v>
      </c>
      <c r="E188" s="4">
        <v>1</v>
      </c>
      <c r="F188" s="5">
        <v>70000</v>
      </c>
      <c r="G188" s="1" t="s">
        <v>4940</v>
      </c>
      <c r="H188" s="1" t="s">
        <v>11</v>
      </c>
      <c r="I188" s="1" t="s">
        <v>4797</v>
      </c>
      <c r="J188" s="5">
        <v>70000</v>
      </c>
      <c r="K188" s="1" t="s">
        <v>3394</v>
      </c>
      <c r="L188" s="5">
        <v>350</v>
      </c>
      <c r="M188" s="1" t="s">
        <v>2308</v>
      </c>
      <c r="N188" s="1" t="s">
        <v>3983</v>
      </c>
      <c r="O188" s="1" t="s">
        <v>2521</v>
      </c>
      <c r="P188" s="1" t="s">
        <v>3956</v>
      </c>
      <c r="Q188" s="1" t="s">
        <v>4798</v>
      </c>
      <c r="R188" s="1" t="s">
        <v>4654</v>
      </c>
      <c r="S188" s="1" t="s">
        <v>4937</v>
      </c>
      <c r="T188" s="6">
        <v>44593</v>
      </c>
      <c r="U188" s="6">
        <v>44599</v>
      </c>
      <c r="V188" s="7">
        <v>0.58333333333333337</v>
      </c>
      <c r="W188" s="6">
        <v>44602</v>
      </c>
      <c r="X188" s="7">
        <v>0.59583333333333333</v>
      </c>
      <c r="Y188" s="1" t="s">
        <v>4860</v>
      </c>
      <c r="Z188" s="5">
        <v>340</v>
      </c>
      <c r="AA188" s="1" t="s">
        <v>3403</v>
      </c>
      <c r="AB188" s="1"/>
      <c r="AC188" s="1"/>
      <c r="AD188" s="1"/>
      <c r="AE188" s="1" t="s">
        <v>3729</v>
      </c>
      <c r="AF188" s="1" t="s">
        <v>9</v>
      </c>
      <c r="AG188" s="1" t="s">
        <v>9</v>
      </c>
      <c r="AH188" s="1"/>
      <c r="AI188" s="6">
        <v>44926</v>
      </c>
    </row>
    <row r="189" spans="1:35" x14ac:dyDescent="0.3">
      <c r="A189" s="1" t="s">
        <v>2243</v>
      </c>
      <c r="B189" s="2" t="str">
        <f>HYPERLINK("https://my.zakupki.prom.ua/remote/dispatcher/state_purchase_view/34695244")</f>
        <v>https://my.zakupki.prom.ua/remote/dispatcher/state_purchase_view/34695244</v>
      </c>
      <c r="C189" s="1" t="s">
        <v>3977</v>
      </c>
      <c r="D189" s="1" t="s">
        <v>459</v>
      </c>
      <c r="E189" s="4">
        <v>5871</v>
      </c>
      <c r="F189" s="5">
        <v>15.5</v>
      </c>
      <c r="G189" s="1" t="s">
        <v>4908</v>
      </c>
      <c r="H189" s="1" t="s">
        <v>290</v>
      </c>
      <c r="I189" s="1" t="s">
        <v>3431</v>
      </c>
      <c r="J189" s="5">
        <v>91000</v>
      </c>
      <c r="K189" s="1" t="s">
        <v>3394</v>
      </c>
      <c r="L189" s="5">
        <v>455</v>
      </c>
      <c r="M189" s="1" t="s">
        <v>2308</v>
      </c>
      <c r="N189" s="1" t="s">
        <v>3983</v>
      </c>
      <c r="O189" s="1" t="s">
        <v>2521</v>
      </c>
      <c r="P189" s="1" t="s">
        <v>3956</v>
      </c>
      <c r="Q189" s="1" t="s">
        <v>2796</v>
      </c>
      <c r="R189" s="1" t="s">
        <v>4099</v>
      </c>
      <c r="S189" s="1" t="s">
        <v>4937</v>
      </c>
      <c r="T189" s="6">
        <v>44593</v>
      </c>
      <c r="U189" s="6">
        <v>44599</v>
      </c>
      <c r="V189" s="7">
        <v>0</v>
      </c>
      <c r="W189" s="6">
        <v>44602</v>
      </c>
      <c r="X189" s="7">
        <v>0</v>
      </c>
      <c r="Y189" s="1" t="s">
        <v>4860</v>
      </c>
      <c r="Z189" s="5">
        <v>340</v>
      </c>
      <c r="AA189" s="1" t="s">
        <v>3403</v>
      </c>
      <c r="AB189" s="1"/>
      <c r="AC189" s="1"/>
      <c r="AD189" s="1"/>
      <c r="AE189" s="1" t="s">
        <v>3801</v>
      </c>
      <c r="AF189" s="1" t="s">
        <v>9</v>
      </c>
      <c r="AG189" s="4">
        <v>6</v>
      </c>
      <c r="AH189" s="1"/>
      <c r="AI189" s="6">
        <v>44926</v>
      </c>
    </row>
    <row r="190" spans="1:35" x14ac:dyDescent="0.3">
      <c r="A190" s="1" t="s">
        <v>1502</v>
      </c>
      <c r="B190" s="2" t="str">
        <f>HYPERLINK("https://my.zakupki.prom.ua/remote/dispatcher/state_purchase_view/34695112")</f>
        <v>https://my.zakupki.prom.ua/remote/dispatcher/state_purchase_view/34695112</v>
      </c>
      <c r="C190" s="1" t="s">
        <v>3012</v>
      </c>
      <c r="D190" s="1" t="s">
        <v>461</v>
      </c>
      <c r="E190" s="1" t="s">
        <v>4903</v>
      </c>
      <c r="F190" s="1" t="s">
        <v>4903</v>
      </c>
      <c r="G190" s="1" t="s">
        <v>4903</v>
      </c>
      <c r="H190" s="1" t="s">
        <v>1012</v>
      </c>
      <c r="I190" s="1" t="s">
        <v>2440</v>
      </c>
      <c r="J190" s="5">
        <v>150000</v>
      </c>
      <c r="K190" s="1" t="s">
        <v>3394</v>
      </c>
      <c r="L190" s="5">
        <v>750</v>
      </c>
      <c r="M190" s="1" t="s">
        <v>2308</v>
      </c>
      <c r="N190" s="1" t="s">
        <v>3983</v>
      </c>
      <c r="O190" s="1" t="s">
        <v>2521</v>
      </c>
      <c r="P190" s="1" t="s">
        <v>3956</v>
      </c>
      <c r="Q190" s="1" t="s">
        <v>3264</v>
      </c>
      <c r="R190" s="1" t="s">
        <v>4081</v>
      </c>
      <c r="S190" s="1" t="s">
        <v>4937</v>
      </c>
      <c r="T190" s="6">
        <v>44593</v>
      </c>
      <c r="U190" s="6">
        <v>44599</v>
      </c>
      <c r="V190" s="7">
        <v>0</v>
      </c>
      <c r="W190" s="6">
        <v>44602</v>
      </c>
      <c r="X190" s="7">
        <v>0</v>
      </c>
      <c r="Y190" s="1" t="s">
        <v>4860</v>
      </c>
      <c r="Z190" s="5">
        <v>340</v>
      </c>
      <c r="AA190" s="1" t="s">
        <v>3403</v>
      </c>
      <c r="AB190" s="1"/>
      <c r="AC190" s="1"/>
      <c r="AD190" s="1"/>
      <c r="AE190" s="1" t="s">
        <v>3788</v>
      </c>
      <c r="AF190" s="1" t="s">
        <v>9</v>
      </c>
      <c r="AG190" s="1" t="s">
        <v>9</v>
      </c>
      <c r="AH190" s="1"/>
      <c r="AI190" s="6">
        <v>44926</v>
      </c>
    </row>
    <row r="191" spans="1:35" x14ac:dyDescent="0.3">
      <c r="A191" s="1" t="s">
        <v>1834</v>
      </c>
      <c r="B191" s="2" t="str">
        <f>HYPERLINK("https://my.zakupki.prom.ua/remote/dispatcher/state_purchase_view/34695079")</f>
        <v>https://my.zakupki.prom.ua/remote/dispatcher/state_purchase_view/34695079</v>
      </c>
      <c r="C191" s="1" t="s">
        <v>2616</v>
      </c>
      <c r="D191" s="1" t="s">
        <v>503</v>
      </c>
      <c r="E191" s="4">
        <v>950</v>
      </c>
      <c r="F191" s="5">
        <v>80</v>
      </c>
      <c r="G191" s="1" t="s">
        <v>4902</v>
      </c>
      <c r="H191" s="1" t="s">
        <v>968</v>
      </c>
      <c r="I191" s="1" t="s">
        <v>4748</v>
      </c>
      <c r="J191" s="5">
        <v>76000</v>
      </c>
      <c r="K191" s="1" t="s">
        <v>3394</v>
      </c>
      <c r="L191" s="5">
        <v>380</v>
      </c>
      <c r="M191" s="1" t="s">
        <v>2308</v>
      </c>
      <c r="N191" s="1" t="s">
        <v>3983</v>
      </c>
      <c r="O191" s="1" t="s">
        <v>2521</v>
      </c>
      <c r="P191" s="1" t="s">
        <v>3956</v>
      </c>
      <c r="Q191" s="1" t="s">
        <v>3035</v>
      </c>
      <c r="R191" s="1" t="s">
        <v>4081</v>
      </c>
      <c r="S191" s="1" t="s">
        <v>4937</v>
      </c>
      <c r="T191" s="6">
        <v>44593</v>
      </c>
      <c r="U191" s="6">
        <v>44599</v>
      </c>
      <c r="V191" s="7">
        <v>0.375</v>
      </c>
      <c r="W191" s="6">
        <v>44602</v>
      </c>
      <c r="X191" s="7">
        <v>0.375</v>
      </c>
      <c r="Y191" s="1" t="s">
        <v>4860</v>
      </c>
      <c r="Z191" s="5">
        <v>340</v>
      </c>
      <c r="AA191" s="1" t="s">
        <v>3403</v>
      </c>
      <c r="AB191" s="1"/>
      <c r="AC191" s="1"/>
      <c r="AD191" s="1"/>
      <c r="AE191" s="1" t="s">
        <v>3805</v>
      </c>
      <c r="AF191" s="1" t="s">
        <v>9</v>
      </c>
      <c r="AG191" s="4">
        <v>139</v>
      </c>
      <c r="AH191" s="1"/>
      <c r="AI191" s="6">
        <v>44926</v>
      </c>
    </row>
    <row r="192" spans="1:35" x14ac:dyDescent="0.3">
      <c r="A192" s="1" t="s">
        <v>2232</v>
      </c>
      <c r="B192" s="2" t="str">
        <f>HYPERLINK("https://my.zakupki.prom.ua/remote/dispatcher/state_purchase_view/34695080")</f>
        <v>https://my.zakupki.prom.ua/remote/dispatcher/state_purchase_view/34695080</v>
      </c>
      <c r="C192" s="1" t="s">
        <v>2675</v>
      </c>
      <c r="D192" s="1" t="s">
        <v>962</v>
      </c>
      <c r="E192" s="1" t="s">
        <v>4903</v>
      </c>
      <c r="F192" s="1" t="s">
        <v>4903</v>
      </c>
      <c r="G192" s="1" t="s">
        <v>4903</v>
      </c>
      <c r="H192" s="1" t="s">
        <v>556</v>
      </c>
      <c r="I192" s="1" t="s">
        <v>2896</v>
      </c>
      <c r="J192" s="5">
        <v>2069300</v>
      </c>
      <c r="K192" s="1" t="s">
        <v>3394</v>
      </c>
      <c r="L192" s="5">
        <v>10346.5</v>
      </c>
      <c r="M192" s="1" t="s">
        <v>2308</v>
      </c>
      <c r="N192" s="1" t="s">
        <v>3983</v>
      </c>
      <c r="O192" s="1" t="s">
        <v>2521</v>
      </c>
      <c r="P192" s="1" t="s">
        <v>2515</v>
      </c>
      <c r="Q192" s="1" t="s">
        <v>3878</v>
      </c>
      <c r="R192" s="1" t="s">
        <v>4330</v>
      </c>
      <c r="S192" s="1" t="s">
        <v>4971</v>
      </c>
      <c r="T192" s="6">
        <v>44593</v>
      </c>
      <c r="U192" s="6">
        <v>44593</v>
      </c>
      <c r="V192" s="7">
        <v>0.59451303280092593</v>
      </c>
      <c r="W192" s="6">
        <v>44609</v>
      </c>
      <c r="X192" s="7">
        <v>0</v>
      </c>
      <c r="Y192" s="8">
        <v>44609.582361111112</v>
      </c>
      <c r="Z192" s="5">
        <v>1700</v>
      </c>
      <c r="AA192" s="1" t="s">
        <v>3403</v>
      </c>
      <c r="AB192" s="1"/>
      <c r="AC192" s="1"/>
      <c r="AD192" s="1"/>
      <c r="AE192" s="1" t="s">
        <v>3788</v>
      </c>
      <c r="AF192" s="1" t="s">
        <v>9</v>
      </c>
      <c r="AG192" s="4">
        <v>4</v>
      </c>
      <c r="AH192" s="1"/>
      <c r="AI192" s="6">
        <v>44926</v>
      </c>
    </row>
    <row r="193" spans="1:35" x14ac:dyDescent="0.3">
      <c r="A193" s="1" t="s">
        <v>2237</v>
      </c>
      <c r="B193" s="2" t="str">
        <f>HYPERLINK("https://my.zakupki.prom.ua/remote/dispatcher/state_purchase_view/34695065")</f>
        <v>https://my.zakupki.prom.ua/remote/dispatcher/state_purchase_view/34695065</v>
      </c>
      <c r="C193" s="1" t="s">
        <v>3847</v>
      </c>
      <c r="D193" s="1" t="s">
        <v>454</v>
      </c>
      <c r="E193" s="4">
        <v>2450</v>
      </c>
      <c r="F193" s="5">
        <v>80</v>
      </c>
      <c r="G193" s="1" t="s">
        <v>4883</v>
      </c>
      <c r="H193" s="1" t="s">
        <v>427</v>
      </c>
      <c r="I193" s="1" t="s">
        <v>2524</v>
      </c>
      <c r="J193" s="5">
        <v>196000</v>
      </c>
      <c r="K193" s="1" t="s">
        <v>3394</v>
      </c>
      <c r="L193" s="5">
        <v>1960</v>
      </c>
      <c r="M193" s="1" t="s">
        <v>2308</v>
      </c>
      <c r="N193" s="1" t="s">
        <v>3983</v>
      </c>
      <c r="O193" s="1" t="s">
        <v>2521</v>
      </c>
      <c r="P193" s="1" t="s">
        <v>3956</v>
      </c>
      <c r="Q193" s="1" t="s">
        <v>2497</v>
      </c>
      <c r="R193" s="1" t="s">
        <v>4177</v>
      </c>
      <c r="S193" s="1" t="s">
        <v>4937</v>
      </c>
      <c r="T193" s="6">
        <v>44593</v>
      </c>
      <c r="U193" s="6">
        <v>44599</v>
      </c>
      <c r="V193" s="7">
        <v>0.58333333333333337</v>
      </c>
      <c r="W193" s="6">
        <v>44602</v>
      </c>
      <c r="X193" s="7">
        <v>0.58333333333333337</v>
      </c>
      <c r="Y193" s="1" t="s">
        <v>4860</v>
      </c>
      <c r="Z193" s="5">
        <v>340</v>
      </c>
      <c r="AA193" s="1" t="s">
        <v>3403</v>
      </c>
      <c r="AB193" s="1"/>
      <c r="AC193" s="1"/>
      <c r="AD193" s="1"/>
      <c r="AE193" s="1" t="s">
        <v>3776</v>
      </c>
      <c r="AF193" s="1" t="s">
        <v>9</v>
      </c>
      <c r="AG193" s="1" t="s">
        <v>9</v>
      </c>
      <c r="AH193" s="1"/>
      <c r="AI193" s="6">
        <v>44713</v>
      </c>
    </row>
    <row r="194" spans="1:35" x14ac:dyDescent="0.3">
      <c r="A194" s="1" t="s">
        <v>2238</v>
      </c>
      <c r="B194" s="2" t="str">
        <f>HYPERLINK("https://my.zakupki.prom.ua/remote/dispatcher/state_purchase_view/34695058")</f>
        <v>https://my.zakupki.prom.ua/remote/dispatcher/state_purchase_view/34695058</v>
      </c>
      <c r="C194" s="1" t="s">
        <v>3517</v>
      </c>
      <c r="D194" s="1" t="s">
        <v>1284</v>
      </c>
      <c r="E194" s="4">
        <v>9</v>
      </c>
      <c r="F194" s="5">
        <v>168.54</v>
      </c>
      <c r="G194" s="1" t="s">
        <v>4914</v>
      </c>
      <c r="H194" s="1" t="s">
        <v>428</v>
      </c>
      <c r="I194" s="1" t="s">
        <v>2446</v>
      </c>
      <c r="J194" s="5">
        <v>1516.86</v>
      </c>
      <c r="K194" s="1" t="s">
        <v>3394</v>
      </c>
      <c r="L194" s="5">
        <v>16</v>
      </c>
      <c r="M194" s="1" t="s">
        <v>2308</v>
      </c>
      <c r="N194" s="1" t="s">
        <v>3983</v>
      </c>
      <c r="O194" s="1" t="s">
        <v>2521</v>
      </c>
      <c r="P194" s="1" t="s">
        <v>3956</v>
      </c>
      <c r="Q194" s="1" t="s">
        <v>2796</v>
      </c>
      <c r="R194" s="1" t="s">
        <v>4173</v>
      </c>
      <c r="S194" s="1" t="s">
        <v>4937</v>
      </c>
      <c r="T194" s="6">
        <v>44593</v>
      </c>
      <c r="U194" s="6">
        <v>44599</v>
      </c>
      <c r="V194" s="7">
        <v>0</v>
      </c>
      <c r="W194" s="6">
        <v>44602</v>
      </c>
      <c r="X194" s="7">
        <v>0</v>
      </c>
      <c r="Y194" s="1" t="s">
        <v>4860</v>
      </c>
      <c r="Z194" s="5">
        <v>17</v>
      </c>
      <c r="AA194" s="1" t="s">
        <v>3403</v>
      </c>
      <c r="AB194" s="1"/>
      <c r="AC194" s="1"/>
      <c r="AD194" s="1"/>
      <c r="AE194" s="1" t="s">
        <v>3725</v>
      </c>
      <c r="AF194" s="1" t="s">
        <v>9</v>
      </c>
      <c r="AG194" s="4">
        <v>6</v>
      </c>
      <c r="AH194" s="1"/>
      <c r="AI194" s="6">
        <v>44926</v>
      </c>
    </row>
    <row r="195" spans="1:35" x14ac:dyDescent="0.3">
      <c r="A195" s="1" t="s">
        <v>1511</v>
      </c>
      <c r="B195" s="2" t="str">
        <f>HYPERLINK("https://my.zakupki.prom.ua/remote/dispatcher/state_purchase_view/34695052")</f>
        <v>https://my.zakupki.prom.ua/remote/dispatcher/state_purchase_view/34695052</v>
      </c>
      <c r="C195" s="1" t="s">
        <v>3532</v>
      </c>
      <c r="D195" s="1" t="s">
        <v>1243</v>
      </c>
      <c r="E195" s="4">
        <v>1</v>
      </c>
      <c r="F195" s="5">
        <v>89836.4</v>
      </c>
      <c r="G195" s="1" t="s">
        <v>4940</v>
      </c>
      <c r="H195" s="1" t="s">
        <v>682</v>
      </c>
      <c r="I195" s="1" t="s">
        <v>3276</v>
      </c>
      <c r="J195" s="5">
        <v>89836.4</v>
      </c>
      <c r="K195" s="1" t="s">
        <v>3394</v>
      </c>
      <c r="L195" s="5">
        <v>449.18</v>
      </c>
      <c r="M195" s="1" t="s">
        <v>2308</v>
      </c>
      <c r="N195" s="1" t="s">
        <v>3403</v>
      </c>
      <c r="O195" s="1" t="s">
        <v>2521</v>
      </c>
      <c r="P195" s="1" t="s">
        <v>3956</v>
      </c>
      <c r="Q195" s="1" t="s">
        <v>3264</v>
      </c>
      <c r="R195" s="1" t="s">
        <v>4510</v>
      </c>
      <c r="S195" s="1" t="s">
        <v>4937</v>
      </c>
      <c r="T195" s="6">
        <v>44593</v>
      </c>
      <c r="U195" s="6">
        <v>44599</v>
      </c>
      <c r="V195" s="7">
        <v>0.33333333333333331</v>
      </c>
      <c r="W195" s="6">
        <v>44602</v>
      </c>
      <c r="X195" s="7">
        <v>0.33333333333333331</v>
      </c>
      <c r="Y195" s="1" t="s">
        <v>4860</v>
      </c>
      <c r="Z195" s="5">
        <v>340</v>
      </c>
      <c r="AA195" s="1" t="s">
        <v>3403</v>
      </c>
      <c r="AB195" s="1"/>
      <c r="AC195" s="1"/>
      <c r="AD195" s="1"/>
      <c r="AE195" s="1" t="s">
        <v>3737</v>
      </c>
      <c r="AF195" s="1" t="s">
        <v>9</v>
      </c>
      <c r="AG195" s="1" t="s">
        <v>9</v>
      </c>
      <c r="AH195" s="1"/>
      <c r="AI195" s="6">
        <v>44926</v>
      </c>
    </row>
    <row r="196" spans="1:35" x14ac:dyDescent="0.3">
      <c r="A196" s="1" t="s">
        <v>2239</v>
      </c>
      <c r="B196" s="2" t="str">
        <f>HYPERLINK("https://my.zakupki.prom.ua/remote/dispatcher/state_purchase_view/34695049")</f>
        <v>https://my.zakupki.prom.ua/remote/dispatcher/state_purchase_view/34695049</v>
      </c>
      <c r="C196" s="1" t="s">
        <v>3616</v>
      </c>
      <c r="D196" s="1" t="s">
        <v>1207</v>
      </c>
      <c r="E196" s="4">
        <v>2</v>
      </c>
      <c r="F196" s="5">
        <v>99750</v>
      </c>
      <c r="G196" s="1" t="s">
        <v>4939</v>
      </c>
      <c r="H196" s="1" t="s">
        <v>1090</v>
      </c>
      <c r="I196" s="1" t="s">
        <v>2427</v>
      </c>
      <c r="J196" s="5">
        <v>199500</v>
      </c>
      <c r="K196" s="1" t="s">
        <v>3394</v>
      </c>
      <c r="L196" s="5">
        <v>997.5</v>
      </c>
      <c r="M196" s="1" t="s">
        <v>2308</v>
      </c>
      <c r="N196" s="1" t="s">
        <v>3983</v>
      </c>
      <c r="O196" s="1" t="s">
        <v>2521</v>
      </c>
      <c r="P196" s="1" t="s">
        <v>3956</v>
      </c>
      <c r="Q196" s="1" t="s">
        <v>4794</v>
      </c>
      <c r="R196" s="1" t="s">
        <v>4220</v>
      </c>
      <c r="S196" s="1" t="s">
        <v>4937</v>
      </c>
      <c r="T196" s="6">
        <v>44593</v>
      </c>
      <c r="U196" s="6">
        <v>44599</v>
      </c>
      <c r="V196" s="7">
        <v>0.625</v>
      </c>
      <c r="W196" s="6">
        <v>44602</v>
      </c>
      <c r="X196" s="7">
        <v>0</v>
      </c>
      <c r="Y196" s="1" t="s">
        <v>4860</v>
      </c>
      <c r="Z196" s="5">
        <v>340</v>
      </c>
      <c r="AA196" s="1" t="s">
        <v>3403</v>
      </c>
      <c r="AB196" s="1"/>
      <c r="AC196" s="1"/>
      <c r="AD196" s="1"/>
      <c r="AE196" s="1" t="s">
        <v>3754</v>
      </c>
      <c r="AF196" s="1" t="s">
        <v>9</v>
      </c>
      <c r="AG196" s="4">
        <v>7</v>
      </c>
      <c r="AH196" s="1"/>
      <c r="AI196" s="6">
        <v>44926</v>
      </c>
    </row>
    <row r="197" spans="1:35" x14ac:dyDescent="0.3">
      <c r="A197" s="1" t="s">
        <v>2242</v>
      </c>
      <c r="B197" s="2" t="str">
        <f>HYPERLINK("https://my.zakupki.prom.ua/remote/dispatcher/state_purchase_view/34695037")</f>
        <v>https://my.zakupki.prom.ua/remote/dispatcher/state_purchase_view/34695037</v>
      </c>
      <c r="C197" s="1" t="s">
        <v>3870</v>
      </c>
      <c r="D197" s="1" t="s">
        <v>1220</v>
      </c>
      <c r="E197" s="4">
        <v>1</v>
      </c>
      <c r="F197" s="5">
        <v>6250000</v>
      </c>
      <c r="G197" s="1" t="s">
        <v>4940</v>
      </c>
      <c r="H197" s="1" t="s">
        <v>1104</v>
      </c>
      <c r="I197" s="1" t="s">
        <v>2716</v>
      </c>
      <c r="J197" s="5">
        <v>6250000</v>
      </c>
      <c r="K197" s="1" t="s">
        <v>3394</v>
      </c>
      <c r="L197" s="5">
        <v>31250</v>
      </c>
      <c r="M197" s="1" t="s">
        <v>2308</v>
      </c>
      <c r="N197" s="1" t="s">
        <v>3403</v>
      </c>
      <c r="O197" s="1" t="s">
        <v>720</v>
      </c>
      <c r="P197" s="1" t="s">
        <v>2515</v>
      </c>
      <c r="Q197" s="1" t="s">
        <v>4833</v>
      </c>
      <c r="R197" s="1" t="s">
        <v>4471</v>
      </c>
      <c r="S197" s="1" t="s">
        <v>4971</v>
      </c>
      <c r="T197" s="6">
        <v>44593</v>
      </c>
      <c r="U197" s="6">
        <v>44593</v>
      </c>
      <c r="V197" s="7">
        <v>0.59859382350694446</v>
      </c>
      <c r="W197" s="6">
        <v>44624</v>
      </c>
      <c r="X197" s="7">
        <v>0.95833333333333337</v>
      </c>
      <c r="Y197" s="8">
        <v>44629.51458333333</v>
      </c>
      <c r="Z197" s="5">
        <v>3400</v>
      </c>
      <c r="AA197" s="1" t="s">
        <v>3403</v>
      </c>
      <c r="AB197" s="1"/>
      <c r="AC197" s="1"/>
      <c r="AD197" s="1"/>
      <c r="AE197" s="1" t="s">
        <v>3693</v>
      </c>
      <c r="AF197" s="1" t="s">
        <v>9</v>
      </c>
      <c r="AG197" s="1" t="s">
        <v>9</v>
      </c>
      <c r="AH197" s="6">
        <v>44641</v>
      </c>
      <c r="AI197" s="6">
        <v>44926</v>
      </c>
    </row>
    <row r="198" spans="1:35" x14ac:dyDescent="0.3">
      <c r="A198" s="1" t="s">
        <v>1836</v>
      </c>
      <c r="B198" s="2" t="str">
        <f>HYPERLINK("https://my.zakupki.prom.ua/remote/dispatcher/state_purchase_view/34695022")</f>
        <v>https://my.zakupki.prom.ua/remote/dispatcher/state_purchase_view/34695022</v>
      </c>
      <c r="C198" s="1" t="s">
        <v>3307</v>
      </c>
      <c r="D198" s="1" t="s">
        <v>1050</v>
      </c>
      <c r="E198" s="1" t="s">
        <v>4903</v>
      </c>
      <c r="F198" s="1" t="s">
        <v>4903</v>
      </c>
      <c r="G198" s="1" t="s">
        <v>4903</v>
      </c>
      <c r="H198" s="1" t="s">
        <v>1039</v>
      </c>
      <c r="I198" s="1" t="s">
        <v>3982</v>
      </c>
      <c r="J198" s="5">
        <v>4504209</v>
      </c>
      <c r="K198" s="1" t="s">
        <v>3394</v>
      </c>
      <c r="L198" s="5">
        <v>45042.09</v>
      </c>
      <c r="M198" s="1" t="s">
        <v>2308</v>
      </c>
      <c r="N198" s="1" t="s">
        <v>3403</v>
      </c>
      <c r="O198" s="1" t="s">
        <v>407</v>
      </c>
      <c r="P198" s="1" t="s">
        <v>2516</v>
      </c>
      <c r="Q198" s="1" t="s">
        <v>3035</v>
      </c>
      <c r="R198" s="1" t="s">
        <v>4081</v>
      </c>
      <c r="S198" s="1" t="s">
        <v>4971</v>
      </c>
      <c r="T198" s="6">
        <v>44593</v>
      </c>
      <c r="U198" s="6">
        <v>44593</v>
      </c>
      <c r="V198" s="7">
        <v>0.59644675925925927</v>
      </c>
      <c r="W198" s="6">
        <v>44634</v>
      </c>
      <c r="X198" s="7">
        <v>0.75</v>
      </c>
      <c r="Y198" s="8">
        <v>44670.469629629632</v>
      </c>
      <c r="Z198" s="5">
        <v>3400</v>
      </c>
      <c r="AA198" s="1" t="s">
        <v>3403</v>
      </c>
      <c r="AB198" s="1"/>
      <c r="AC198" s="1"/>
      <c r="AD198" s="1"/>
      <c r="AE198" s="1" t="s">
        <v>3788</v>
      </c>
      <c r="AF198" s="1" t="s">
        <v>9</v>
      </c>
      <c r="AG198" s="4">
        <v>300</v>
      </c>
      <c r="AH198" s="1"/>
      <c r="AI198" s="6">
        <v>44879</v>
      </c>
    </row>
    <row r="199" spans="1:35" x14ac:dyDescent="0.3">
      <c r="A199" s="1" t="s">
        <v>1517</v>
      </c>
      <c r="B199" s="2" t="str">
        <f>HYPERLINK("https://my.zakupki.prom.ua/remote/dispatcher/state_purchase_view/34695017")</f>
        <v>https://my.zakupki.prom.ua/remote/dispatcher/state_purchase_view/34695017</v>
      </c>
      <c r="C199" s="1" t="s">
        <v>4</v>
      </c>
      <c r="D199" s="1" t="s">
        <v>1165</v>
      </c>
      <c r="E199" s="4">
        <v>1</v>
      </c>
      <c r="F199" s="5">
        <v>999800</v>
      </c>
      <c r="G199" s="1" t="s">
        <v>4940</v>
      </c>
      <c r="H199" s="1" t="s">
        <v>726</v>
      </c>
      <c r="I199" s="1" t="s">
        <v>3981</v>
      </c>
      <c r="J199" s="5">
        <v>999800</v>
      </c>
      <c r="K199" s="1" t="s">
        <v>3394</v>
      </c>
      <c r="L199" s="5">
        <v>4999</v>
      </c>
      <c r="M199" s="1" t="s">
        <v>2308</v>
      </c>
      <c r="N199" s="1" t="s">
        <v>3983</v>
      </c>
      <c r="O199" s="1" t="s">
        <v>691</v>
      </c>
      <c r="P199" s="1" t="s">
        <v>3956</v>
      </c>
      <c r="Q199" s="1" t="s">
        <v>3262</v>
      </c>
      <c r="R199" s="1" t="s">
        <v>4081</v>
      </c>
      <c r="S199" s="1" t="s">
        <v>4937</v>
      </c>
      <c r="T199" s="6">
        <v>44593</v>
      </c>
      <c r="U199" s="6">
        <v>44599</v>
      </c>
      <c r="V199" s="7">
        <v>0.5</v>
      </c>
      <c r="W199" s="6">
        <v>44602</v>
      </c>
      <c r="X199" s="7">
        <v>0.33333333333333331</v>
      </c>
      <c r="Y199" s="1" t="s">
        <v>4860</v>
      </c>
      <c r="Z199" s="5">
        <v>510</v>
      </c>
      <c r="AA199" s="1" t="s">
        <v>3403</v>
      </c>
      <c r="AB199" s="1"/>
      <c r="AC199" s="1"/>
      <c r="AD199" s="1"/>
      <c r="AE199" s="1" t="s">
        <v>3739</v>
      </c>
      <c r="AF199" s="1" t="s">
        <v>9</v>
      </c>
      <c r="AG199" s="4">
        <v>4</v>
      </c>
      <c r="AH199" s="1"/>
      <c r="AI199" s="6">
        <v>44926</v>
      </c>
    </row>
    <row r="200" spans="1:35" x14ac:dyDescent="0.3">
      <c r="A200" s="1" t="s">
        <v>1842</v>
      </c>
      <c r="B200" s="2" t="str">
        <f>HYPERLINK("https://my.zakupki.prom.ua/remote/dispatcher/state_purchase_view/34695004")</f>
        <v>https://my.zakupki.prom.ua/remote/dispatcher/state_purchase_view/34695004</v>
      </c>
      <c r="C200" s="1" t="s">
        <v>2650</v>
      </c>
      <c r="D200" s="1" t="s">
        <v>453</v>
      </c>
      <c r="E200" s="1" t="s">
        <v>4903</v>
      </c>
      <c r="F200" s="1" t="s">
        <v>4903</v>
      </c>
      <c r="G200" s="1" t="s">
        <v>4903</v>
      </c>
      <c r="H200" s="1" t="s">
        <v>819</v>
      </c>
      <c r="I200" s="1" t="s">
        <v>2734</v>
      </c>
      <c r="J200" s="5">
        <v>200160</v>
      </c>
      <c r="K200" s="1" t="s">
        <v>3394</v>
      </c>
      <c r="L200" s="5">
        <v>1000.8</v>
      </c>
      <c r="M200" s="1" t="s">
        <v>2308</v>
      </c>
      <c r="N200" s="1" t="s">
        <v>3983</v>
      </c>
      <c r="O200" s="1" t="s">
        <v>2521</v>
      </c>
      <c r="P200" s="1" t="s">
        <v>3956</v>
      </c>
      <c r="Q200" s="1" t="s">
        <v>2761</v>
      </c>
      <c r="R200" s="1" t="s">
        <v>4135</v>
      </c>
      <c r="S200" s="1" t="s">
        <v>4937</v>
      </c>
      <c r="T200" s="6">
        <v>44593</v>
      </c>
      <c r="U200" s="6">
        <v>44599</v>
      </c>
      <c r="V200" s="7">
        <v>0.375</v>
      </c>
      <c r="W200" s="6">
        <v>44602</v>
      </c>
      <c r="X200" s="7">
        <v>0.375</v>
      </c>
      <c r="Y200" s="1" t="s">
        <v>4860</v>
      </c>
      <c r="Z200" s="5">
        <v>510</v>
      </c>
      <c r="AA200" s="1" t="s">
        <v>3403</v>
      </c>
      <c r="AB200" s="1"/>
      <c r="AC200" s="1"/>
      <c r="AD200" s="1"/>
      <c r="AE200" s="1" t="s">
        <v>3802</v>
      </c>
      <c r="AF200" s="1" t="s">
        <v>9</v>
      </c>
      <c r="AG200" s="4">
        <v>18</v>
      </c>
      <c r="AH200" s="1"/>
      <c r="AI200" s="6">
        <v>44926</v>
      </c>
    </row>
    <row r="201" spans="1:35" x14ac:dyDescent="0.3">
      <c r="A201" s="1" t="s">
        <v>1845</v>
      </c>
      <c r="B201" s="2" t="str">
        <f>HYPERLINK("https://my.zakupki.prom.ua/remote/dispatcher/state_purchase_view/34695003")</f>
        <v>https://my.zakupki.prom.ua/remote/dispatcher/state_purchase_view/34695003</v>
      </c>
      <c r="C201" s="1" t="s">
        <v>2637</v>
      </c>
      <c r="D201" s="1" t="s">
        <v>444</v>
      </c>
      <c r="E201" s="4">
        <v>928</v>
      </c>
      <c r="F201" s="5">
        <v>98.91</v>
      </c>
      <c r="G201" s="1" t="s">
        <v>4883</v>
      </c>
      <c r="H201" s="1" t="s">
        <v>133</v>
      </c>
      <c r="I201" s="1" t="s">
        <v>2564</v>
      </c>
      <c r="J201" s="5">
        <v>91789</v>
      </c>
      <c r="K201" s="1" t="s">
        <v>3394</v>
      </c>
      <c r="L201" s="5">
        <v>458.95</v>
      </c>
      <c r="M201" s="1" t="s">
        <v>2308</v>
      </c>
      <c r="N201" s="1" t="s">
        <v>3983</v>
      </c>
      <c r="O201" s="1" t="s">
        <v>686</v>
      </c>
      <c r="P201" s="1" t="s">
        <v>3956</v>
      </c>
      <c r="Q201" s="1" t="s">
        <v>4794</v>
      </c>
      <c r="R201" s="1" t="s">
        <v>4137</v>
      </c>
      <c r="S201" s="1" t="s">
        <v>4937</v>
      </c>
      <c r="T201" s="6">
        <v>44593</v>
      </c>
      <c r="U201" s="6">
        <v>44597</v>
      </c>
      <c r="V201" s="7">
        <v>0</v>
      </c>
      <c r="W201" s="6">
        <v>44601</v>
      </c>
      <c r="X201" s="7">
        <v>0</v>
      </c>
      <c r="Y201" s="1" t="s">
        <v>4860</v>
      </c>
      <c r="Z201" s="5">
        <v>340</v>
      </c>
      <c r="AA201" s="1" t="s">
        <v>3403</v>
      </c>
      <c r="AB201" s="1"/>
      <c r="AC201" s="1"/>
      <c r="AD201" s="1"/>
      <c r="AE201" s="1" t="s">
        <v>3774</v>
      </c>
      <c r="AF201" s="1" t="s">
        <v>9</v>
      </c>
      <c r="AG201" s="1" t="s">
        <v>9</v>
      </c>
      <c r="AH201" s="1"/>
      <c r="AI201" s="6">
        <v>44926</v>
      </c>
    </row>
    <row r="202" spans="1:35" x14ac:dyDescent="0.3">
      <c r="A202" s="1" t="s">
        <v>1830</v>
      </c>
      <c r="B202" s="2" t="str">
        <f>HYPERLINK("https://my.zakupki.prom.ua/remote/dispatcher/state_purchase_view/34695002")</f>
        <v>https://my.zakupki.prom.ua/remote/dispatcher/state_purchase_view/34695002</v>
      </c>
      <c r="C202" s="1" t="s">
        <v>3680</v>
      </c>
      <c r="D202" s="1" t="s">
        <v>1200</v>
      </c>
      <c r="E202" s="4">
        <v>120</v>
      </c>
      <c r="F202" s="5">
        <v>5500</v>
      </c>
      <c r="G202" s="1" t="s">
        <v>4940</v>
      </c>
      <c r="H202" s="1" t="s">
        <v>677</v>
      </c>
      <c r="I202" s="1" t="s">
        <v>3037</v>
      </c>
      <c r="J202" s="5">
        <v>660000</v>
      </c>
      <c r="K202" s="1" t="s">
        <v>3394</v>
      </c>
      <c r="L202" s="5">
        <v>6600</v>
      </c>
      <c r="M202" s="1" t="s">
        <v>2308</v>
      </c>
      <c r="N202" s="1" t="s">
        <v>3983</v>
      </c>
      <c r="O202" s="1" t="s">
        <v>2521</v>
      </c>
      <c r="P202" s="1" t="s">
        <v>2515</v>
      </c>
      <c r="Q202" s="1" t="s">
        <v>3035</v>
      </c>
      <c r="R202" s="1" t="s">
        <v>4081</v>
      </c>
      <c r="S202" s="1" t="s">
        <v>4971</v>
      </c>
      <c r="T202" s="6">
        <v>44593</v>
      </c>
      <c r="U202" s="6">
        <v>44593</v>
      </c>
      <c r="V202" s="7">
        <v>0.59328862600694443</v>
      </c>
      <c r="W202" s="6">
        <v>44609</v>
      </c>
      <c r="X202" s="7">
        <v>0</v>
      </c>
      <c r="Y202" s="8">
        <v>44609.621863425928</v>
      </c>
      <c r="Z202" s="5">
        <v>510</v>
      </c>
      <c r="AA202" s="1" t="s">
        <v>3403</v>
      </c>
      <c r="AB202" s="1"/>
      <c r="AC202" s="1"/>
      <c r="AD202" s="1"/>
      <c r="AE202" s="1" t="s">
        <v>3727</v>
      </c>
      <c r="AF202" s="1" t="s">
        <v>9</v>
      </c>
      <c r="AG202" s="4">
        <v>4</v>
      </c>
      <c r="AH202" s="6">
        <v>44625</v>
      </c>
      <c r="AI202" s="6">
        <v>44910</v>
      </c>
    </row>
    <row r="203" spans="1:35" x14ac:dyDescent="0.3">
      <c r="A203" s="1" t="s">
        <v>1493</v>
      </c>
      <c r="B203" s="2" t="str">
        <f>HYPERLINK("https://my.zakupki.prom.ua/remote/dispatcher/state_purchase_view/34694987")</f>
        <v>https://my.zakupki.prom.ua/remote/dispatcher/state_purchase_view/34694987</v>
      </c>
      <c r="C203" s="1" t="s">
        <v>2775</v>
      </c>
      <c r="D203" s="1" t="s">
        <v>387</v>
      </c>
      <c r="E203" s="4">
        <v>47761</v>
      </c>
      <c r="F203" s="5">
        <v>6.7</v>
      </c>
      <c r="G203" s="1" t="s">
        <v>4879</v>
      </c>
      <c r="H203" s="1" t="s">
        <v>316</v>
      </c>
      <c r="I203" s="1" t="s">
        <v>2998</v>
      </c>
      <c r="J203" s="5">
        <v>320000</v>
      </c>
      <c r="K203" s="1" t="s">
        <v>3394</v>
      </c>
      <c r="L203" s="5">
        <v>1600</v>
      </c>
      <c r="M203" s="1" t="s">
        <v>2308</v>
      </c>
      <c r="N203" s="1" t="s">
        <v>3983</v>
      </c>
      <c r="O203" s="1" t="s">
        <v>2521</v>
      </c>
      <c r="P203" s="1" t="s">
        <v>2515</v>
      </c>
      <c r="Q203" s="1" t="s">
        <v>2334</v>
      </c>
      <c r="R203" s="1" t="s">
        <v>4708</v>
      </c>
      <c r="S203" s="1" t="s">
        <v>4971</v>
      </c>
      <c r="T203" s="6">
        <v>44593</v>
      </c>
      <c r="U203" s="6">
        <v>44593</v>
      </c>
      <c r="V203" s="7">
        <v>0.58413297512731488</v>
      </c>
      <c r="W203" s="6">
        <v>44609</v>
      </c>
      <c r="X203" s="7">
        <v>0.75</v>
      </c>
      <c r="Y203" s="8">
        <v>44610.652986111112</v>
      </c>
      <c r="Z203" s="5">
        <v>510</v>
      </c>
      <c r="AA203" s="1" t="s">
        <v>3403</v>
      </c>
      <c r="AB203" s="1"/>
      <c r="AC203" s="1"/>
      <c r="AD203" s="1"/>
      <c r="AE203" s="1" t="s">
        <v>3797</v>
      </c>
      <c r="AF203" s="1" t="s">
        <v>9</v>
      </c>
      <c r="AG203" s="1" t="s">
        <v>9</v>
      </c>
      <c r="AH203" s="1"/>
      <c r="AI203" s="6">
        <v>44926</v>
      </c>
    </row>
    <row r="204" spans="1:35" x14ac:dyDescent="0.3">
      <c r="A204" s="1" t="s">
        <v>1850</v>
      </c>
      <c r="B204" s="2" t="str">
        <f>HYPERLINK("https://my.zakupki.prom.ua/remote/dispatcher/state_purchase_view/34694979")</f>
        <v>https://my.zakupki.prom.ua/remote/dispatcher/state_purchase_view/34694979</v>
      </c>
      <c r="C204" s="1" t="s">
        <v>2335</v>
      </c>
      <c r="D204" s="1" t="s">
        <v>1136</v>
      </c>
      <c r="E204" s="4">
        <v>1</v>
      </c>
      <c r="F204" s="5">
        <v>400000</v>
      </c>
      <c r="G204" s="1" t="s">
        <v>4976</v>
      </c>
      <c r="H204" s="1" t="s">
        <v>61</v>
      </c>
      <c r="I204" s="1" t="s">
        <v>3099</v>
      </c>
      <c r="J204" s="5">
        <v>400000</v>
      </c>
      <c r="K204" s="1" t="s">
        <v>3394</v>
      </c>
      <c r="L204" s="5">
        <v>4000</v>
      </c>
      <c r="M204" s="1" t="s">
        <v>2308</v>
      </c>
      <c r="N204" s="1" t="s">
        <v>3983</v>
      </c>
      <c r="O204" s="1" t="s">
        <v>2521</v>
      </c>
      <c r="P204" s="1" t="s">
        <v>3956</v>
      </c>
      <c r="Q204" s="1" t="s">
        <v>2761</v>
      </c>
      <c r="R204" s="1" t="s">
        <v>4680</v>
      </c>
      <c r="S204" s="1" t="s">
        <v>4937</v>
      </c>
      <c r="T204" s="6">
        <v>44593</v>
      </c>
      <c r="U204" s="6">
        <v>44599</v>
      </c>
      <c r="V204" s="7">
        <v>0</v>
      </c>
      <c r="W204" s="6">
        <v>44602</v>
      </c>
      <c r="X204" s="7">
        <v>0</v>
      </c>
      <c r="Y204" s="1" t="s">
        <v>4860</v>
      </c>
      <c r="Z204" s="5">
        <v>510</v>
      </c>
      <c r="AA204" s="1" t="s">
        <v>3403</v>
      </c>
      <c r="AB204" s="1"/>
      <c r="AC204" s="1"/>
      <c r="AD204" s="1"/>
      <c r="AE204" s="1" t="s">
        <v>3703</v>
      </c>
      <c r="AF204" s="1" t="s">
        <v>9</v>
      </c>
      <c r="AG204" s="4">
        <v>7</v>
      </c>
      <c r="AH204" s="1"/>
      <c r="AI204" s="6">
        <v>44630</v>
      </c>
    </row>
    <row r="205" spans="1:35" x14ac:dyDescent="0.3">
      <c r="A205" s="1" t="s">
        <v>1521</v>
      </c>
      <c r="B205" s="2" t="str">
        <f>HYPERLINK("https://my.zakupki.prom.ua/remote/dispatcher/state_purchase_view/34694977")</f>
        <v>https://my.zakupki.prom.ua/remote/dispatcher/state_purchase_view/34694977</v>
      </c>
      <c r="C205" s="1" t="s">
        <v>1092</v>
      </c>
      <c r="D205" s="1" t="s">
        <v>1091</v>
      </c>
      <c r="E205" s="4">
        <v>1000</v>
      </c>
      <c r="F205" s="5">
        <v>4.4000000000000004</v>
      </c>
      <c r="G205" s="1" t="s">
        <v>4883</v>
      </c>
      <c r="H205" s="1" t="s">
        <v>1002</v>
      </c>
      <c r="I205" s="1" t="s">
        <v>2693</v>
      </c>
      <c r="J205" s="5">
        <v>4400</v>
      </c>
      <c r="K205" s="1" t="s">
        <v>3394</v>
      </c>
      <c r="L205" s="5">
        <v>22</v>
      </c>
      <c r="M205" s="1" t="s">
        <v>2308</v>
      </c>
      <c r="N205" s="1" t="s">
        <v>3983</v>
      </c>
      <c r="O205" s="1" t="s">
        <v>2521</v>
      </c>
      <c r="P205" s="1" t="s">
        <v>3956</v>
      </c>
      <c r="Q205" s="1" t="s">
        <v>4794</v>
      </c>
      <c r="R205" s="1" t="s">
        <v>4176</v>
      </c>
      <c r="S205" s="1" t="s">
        <v>4937</v>
      </c>
      <c r="T205" s="6">
        <v>44593</v>
      </c>
      <c r="U205" s="6">
        <v>44599</v>
      </c>
      <c r="V205" s="7">
        <v>0</v>
      </c>
      <c r="W205" s="6">
        <v>44601</v>
      </c>
      <c r="X205" s="7">
        <v>0</v>
      </c>
      <c r="Y205" s="1" t="s">
        <v>4860</v>
      </c>
      <c r="Z205" s="5">
        <v>17</v>
      </c>
      <c r="AA205" s="1" t="s">
        <v>3403</v>
      </c>
      <c r="AB205" s="1"/>
      <c r="AC205" s="1"/>
      <c r="AD205" s="1"/>
      <c r="AE205" s="1" t="s">
        <v>3788</v>
      </c>
      <c r="AF205" s="1" t="s">
        <v>9</v>
      </c>
      <c r="AG205" s="1" t="s">
        <v>9</v>
      </c>
      <c r="AH205" s="1"/>
      <c r="AI205" s="6">
        <v>44926</v>
      </c>
    </row>
    <row r="206" spans="1:35" x14ac:dyDescent="0.3">
      <c r="A206" s="1" t="s">
        <v>1513</v>
      </c>
      <c r="B206" s="2" t="str">
        <f>HYPERLINK("https://my.zakupki.prom.ua/remote/dispatcher/state_purchase_view/34694958")</f>
        <v>https://my.zakupki.prom.ua/remote/dispatcher/state_purchase_view/34694958</v>
      </c>
      <c r="C206" s="1" t="s">
        <v>3355</v>
      </c>
      <c r="D206" s="1" t="s">
        <v>441</v>
      </c>
      <c r="E206" s="1" t="s">
        <v>4903</v>
      </c>
      <c r="F206" s="1" t="s">
        <v>4903</v>
      </c>
      <c r="G206" s="1" t="s">
        <v>4903</v>
      </c>
      <c r="H206" s="1" t="s">
        <v>293</v>
      </c>
      <c r="I206" s="1" t="s">
        <v>3913</v>
      </c>
      <c r="J206" s="5">
        <v>82500</v>
      </c>
      <c r="K206" s="1" t="s">
        <v>3394</v>
      </c>
      <c r="L206" s="5">
        <v>412.5</v>
      </c>
      <c r="M206" s="1" t="s">
        <v>2308</v>
      </c>
      <c r="N206" s="1" t="s">
        <v>3983</v>
      </c>
      <c r="O206" s="1" t="s">
        <v>2521</v>
      </c>
      <c r="P206" s="1" t="s">
        <v>3956</v>
      </c>
      <c r="Q206" s="1" t="s">
        <v>2808</v>
      </c>
      <c r="R206" s="1" t="s">
        <v>4043</v>
      </c>
      <c r="S206" s="1" t="s">
        <v>4937</v>
      </c>
      <c r="T206" s="6">
        <v>44593</v>
      </c>
      <c r="U206" s="6">
        <v>44599</v>
      </c>
      <c r="V206" s="7">
        <v>0</v>
      </c>
      <c r="W206" s="6">
        <v>44606</v>
      </c>
      <c r="X206" s="7">
        <v>0</v>
      </c>
      <c r="Y206" s="1" t="s">
        <v>4860</v>
      </c>
      <c r="Z206" s="5">
        <v>340</v>
      </c>
      <c r="AA206" s="1" t="s">
        <v>3403</v>
      </c>
      <c r="AB206" s="1"/>
      <c r="AC206" s="1"/>
      <c r="AD206" s="1"/>
      <c r="AE206" s="1" t="s">
        <v>3803</v>
      </c>
      <c r="AF206" s="1" t="s">
        <v>9</v>
      </c>
      <c r="AG206" s="1" t="s">
        <v>9</v>
      </c>
      <c r="AH206" s="1"/>
      <c r="AI206" s="6">
        <v>44773</v>
      </c>
    </row>
    <row r="207" spans="1:35" x14ac:dyDescent="0.3">
      <c r="A207" s="1" t="s">
        <v>1835</v>
      </c>
      <c r="B207" s="2" t="str">
        <f>HYPERLINK("https://my.zakupki.prom.ua/remote/dispatcher/state_purchase_view/34694955")</f>
        <v>https://my.zakupki.prom.ua/remote/dispatcher/state_purchase_view/34694955</v>
      </c>
      <c r="C207" s="1" t="s">
        <v>3417</v>
      </c>
      <c r="D207" s="1" t="s">
        <v>219</v>
      </c>
      <c r="E207" s="1" t="s">
        <v>4903</v>
      </c>
      <c r="F207" s="1" t="s">
        <v>4903</v>
      </c>
      <c r="G207" s="1" t="s">
        <v>4903</v>
      </c>
      <c r="H207" s="1" t="s">
        <v>672</v>
      </c>
      <c r="I207" s="1" t="s">
        <v>3434</v>
      </c>
      <c r="J207" s="5">
        <v>53000</v>
      </c>
      <c r="K207" s="1" t="s">
        <v>3394</v>
      </c>
      <c r="L207" s="5">
        <v>265</v>
      </c>
      <c r="M207" s="1" t="s">
        <v>2308</v>
      </c>
      <c r="N207" s="1" t="s">
        <v>3983</v>
      </c>
      <c r="O207" s="1" t="s">
        <v>2521</v>
      </c>
      <c r="P207" s="1" t="s">
        <v>3956</v>
      </c>
      <c r="Q207" s="1" t="s">
        <v>2528</v>
      </c>
      <c r="R207" s="1" t="s">
        <v>4183</v>
      </c>
      <c r="S207" s="1" t="s">
        <v>4937</v>
      </c>
      <c r="T207" s="6">
        <v>44593</v>
      </c>
      <c r="U207" s="6">
        <v>44599</v>
      </c>
      <c r="V207" s="7">
        <v>0</v>
      </c>
      <c r="W207" s="6">
        <v>44602</v>
      </c>
      <c r="X207" s="7">
        <v>0</v>
      </c>
      <c r="Y207" s="1" t="s">
        <v>4860</v>
      </c>
      <c r="Z207" s="5">
        <v>340</v>
      </c>
      <c r="AA207" s="1" t="s">
        <v>3403</v>
      </c>
      <c r="AB207" s="1"/>
      <c r="AC207" s="1"/>
      <c r="AD207" s="1"/>
      <c r="AE207" s="1" t="s">
        <v>3787</v>
      </c>
      <c r="AF207" s="1" t="s">
        <v>9</v>
      </c>
      <c r="AG207" s="1" t="s">
        <v>9</v>
      </c>
      <c r="AH207" s="1"/>
      <c r="AI207" s="6">
        <v>44926</v>
      </c>
    </row>
    <row r="208" spans="1:35" x14ac:dyDescent="0.3">
      <c r="A208" s="1" t="s">
        <v>2230</v>
      </c>
      <c r="B208" s="2" t="str">
        <f>HYPERLINK("https://my.zakupki.prom.ua/remote/dispatcher/state_purchase_view/34694894")</f>
        <v>https://my.zakupki.prom.ua/remote/dispatcher/state_purchase_view/34694894</v>
      </c>
      <c r="C208" s="1" t="s">
        <v>3824</v>
      </c>
      <c r="D208" s="1" t="s">
        <v>827</v>
      </c>
      <c r="E208" s="4">
        <v>4</v>
      </c>
      <c r="F208" s="5">
        <v>1250</v>
      </c>
      <c r="G208" s="1" t="s">
        <v>4989</v>
      </c>
      <c r="H208" s="1" t="s">
        <v>353</v>
      </c>
      <c r="I208" s="1" t="s">
        <v>2586</v>
      </c>
      <c r="J208" s="5">
        <v>5000</v>
      </c>
      <c r="K208" s="1" t="s">
        <v>3394</v>
      </c>
      <c r="L208" s="5">
        <v>25</v>
      </c>
      <c r="M208" s="1" t="s">
        <v>2308</v>
      </c>
      <c r="N208" s="1" t="s">
        <v>3403</v>
      </c>
      <c r="O208" s="1" t="s">
        <v>2521</v>
      </c>
      <c r="P208" s="1" t="s">
        <v>2762</v>
      </c>
      <c r="Q208" s="1" t="s">
        <v>4794</v>
      </c>
      <c r="R208" s="1" t="s">
        <v>4081</v>
      </c>
      <c r="S208" s="1" t="s">
        <v>4937</v>
      </c>
      <c r="T208" s="6">
        <v>44593</v>
      </c>
      <c r="U208" s="6">
        <v>44597</v>
      </c>
      <c r="V208" s="7">
        <v>0.29166666666666669</v>
      </c>
      <c r="W208" s="6">
        <v>44601</v>
      </c>
      <c r="X208" s="7">
        <v>0.29166666666666669</v>
      </c>
      <c r="Y208" s="1" t="s">
        <v>4860</v>
      </c>
      <c r="Z208" s="5">
        <v>17</v>
      </c>
      <c r="AA208" s="1" t="s">
        <v>3403</v>
      </c>
      <c r="AB208" s="1"/>
      <c r="AC208" s="1"/>
      <c r="AD208" s="1"/>
      <c r="AE208" s="1" t="s">
        <v>3794</v>
      </c>
      <c r="AF208" s="1" t="s">
        <v>9</v>
      </c>
      <c r="AG208" s="1" t="s">
        <v>9</v>
      </c>
      <c r="AH208" s="1"/>
      <c r="AI208" s="1"/>
    </row>
    <row r="209" spans="1:35" x14ac:dyDescent="0.3">
      <c r="A209" s="1" t="s">
        <v>2241</v>
      </c>
      <c r="B209" s="2" t="str">
        <f>HYPERLINK("https://my.zakupki.prom.ua/remote/dispatcher/state_purchase_view/34694845")</f>
        <v>https://my.zakupki.prom.ua/remote/dispatcher/state_purchase_view/34694845</v>
      </c>
      <c r="C209" s="1" t="s">
        <v>3247</v>
      </c>
      <c r="D209" s="1" t="s">
        <v>801</v>
      </c>
      <c r="E209" s="1" t="s">
        <v>4903</v>
      </c>
      <c r="F209" s="1" t="s">
        <v>4903</v>
      </c>
      <c r="G209" s="1" t="s">
        <v>4903</v>
      </c>
      <c r="H209" s="1" t="s">
        <v>906</v>
      </c>
      <c r="I209" s="1" t="s">
        <v>3135</v>
      </c>
      <c r="J209" s="5">
        <v>151000</v>
      </c>
      <c r="K209" s="1" t="s">
        <v>3394</v>
      </c>
      <c r="L209" s="5">
        <v>755</v>
      </c>
      <c r="M209" s="1" t="s">
        <v>2308</v>
      </c>
      <c r="N209" s="1" t="s">
        <v>3983</v>
      </c>
      <c r="O209" s="1" t="s">
        <v>2521</v>
      </c>
      <c r="P209" s="1" t="s">
        <v>3956</v>
      </c>
      <c r="Q209" s="1" t="s">
        <v>2756</v>
      </c>
      <c r="R209" s="1" t="s">
        <v>4203</v>
      </c>
      <c r="S209" s="1" t="s">
        <v>4937</v>
      </c>
      <c r="T209" s="6">
        <v>44593</v>
      </c>
      <c r="U209" s="6">
        <v>44599</v>
      </c>
      <c r="V209" s="7">
        <v>0.57430555555555551</v>
      </c>
      <c r="W209" s="6">
        <v>44602</v>
      </c>
      <c r="X209" s="7">
        <v>0.57499999999999996</v>
      </c>
      <c r="Y209" s="1" t="s">
        <v>4860</v>
      </c>
      <c r="Z209" s="5">
        <v>340</v>
      </c>
      <c r="AA209" s="1" t="s">
        <v>3403</v>
      </c>
      <c r="AB209" s="1"/>
      <c r="AC209" s="1"/>
      <c r="AD209" s="1"/>
      <c r="AE209" s="1" t="s">
        <v>3788</v>
      </c>
      <c r="AF209" s="1" t="s">
        <v>9</v>
      </c>
      <c r="AG209" s="1" t="s">
        <v>9</v>
      </c>
      <c r="AH209" s="1"/>
      <c r="AI209" s="6">
        <v>44926</v>
      </c>
    </row>
    <row r="210" spans="1:35" x14ac:dyDescent="0.3">
      <c r="A210" s="1" t="s">
        <v>2240</v>
      </c>
      <c r="B210" s="2" t="str">
        <f>HYPERLINK("https://my.zakupki.prom.ua/remote/dispatcher/state_purchase_view/34694711")</f>
        <v>https://my.zakupki.prom.ua/remote/dispatcher/state_purchase_view/34694711</v>
      </c>
      <c r="C210" s="1" t="s">
        <v>3232</v>
      </c>
      <c r="D210" s="1" t="s">
        <v>1256</v>
      </c>
      <c r="E210" s="4">
        <v>44</v>
      </c>
      <c r="F210" s="5">
        <v>1748.75</v>
      </c>
      <c r="G210" s="1" t="s">
        <v>4907</v>
      </c>
      <c r="H210" s="1" t="s">
        <v>1037</v>
      </c>
      <c r="I210" s="1" t="s">
        <v>2928</v>
      </c>
      <c r="J210" s="5">
        <v>76945</v>
      </c>
      <c r="K210" s="1" t="s">
        <v>3394</v>
      </c>
      <c r="L210" s="5">
        <v>769.45</v>
      </c>
      <c r="M210" s="1" t="s">
        <v>2308</v>
      </c>
      <c r="N210" s="1" t="s">
        <v>3983</v>
      </c>
      <c r="O210" s="1" t="s">
        <v>2521</v>
      </c>
      <c r="P210" s="1" t="s">
        <v>3956</v>
      </c>
      <c r="Q210" s="1" t="s">
        <v>2796</v>
      </c>
      <c r="R210" s="1" t="s">
        <v>4399</v>
      </c>
      <c r="S210" s="1" t="s">
        <v>4937</v>
      </c>
      <c r="T210" s="6">
        <v>44593</v>
      </c>
      <c r="U210" s="6">
        <v>44599</v>
      </c>
      <c r="V210" s="7">
        <v>0</v>
      </c>
      <c r="W210" s="6">
        <v>44602</v>
      </c>
      <c r="X210" s="7">
        <v>0</v>
      </c>
      <c r="Y210" s="1" t="s">
        <v>4860</v>
      </c>
      <c r="Z210" s="5">
        <v>340</v>
      </c>
      <c r="AA210" s="1" t="s">
        <v>3403</v>
      </c>
      <c r="AB210" s="1"/>
      <c r="AC210" s="1"/>
      <c r="AD210" s="1"/>
      <c r="AE210" s="1" t="s">
        <v>3750</v>
      </c>
      <c r="AF210" s="1" t="s">
        <v>9</v>
      </c>
      <c r="AG210" s="4">
        <v>2</v>
      </c>
      <c r="AH210" s="1"/>
      <c r="AI210" s="6">
        <v>44926</v>
      </c>
    </row>
    <row r="211" spans="1:35" x14ac:dyDescent="0.3">
      <c r="A211" s="1" t="s">
        <v>2236</v>
      </c>
      <c r="B211" s="2" t="str">
        <f>HYPERLINK("https://my.zakupki.prom.ua/remote/dispatcher/state_purchase_view/34694623")</f>
        <v>https://my.zakupki.prom.ua/remote/dispatcher/state_purchase_view/34694623</v>
      </c>
      <c r="C211" s="1" t="s">
        <v>3835</v>
      </c>
      <c r="D211" s="1" t="s">
        <v>1139</v>
      </c>
      <c r="E211" s="4">
        <v>1</v>
      </c>
      <c r="F211" s="5">
        <v>588600</v>
      </c>
      <c r="G211" s="1" t="s">
        <v>4976</v>
      </c>
      <c r="H211" s="1" t="s">
        <v>330</v>
      </c>
      <c r="I211" s="1" t="s">
        <v>3463</v>
      </c>
      <c r="J211" s="5">
        <v>588600</v>
      </c>
      <c r="K211" s="1" t="s">
        <v>3394</v>
      </c>
      <c r="L211" s="5">
        <v>2950</v>
      </c>
      <c r="M211" s="1" t="s">
        <v>2308</v>
      </c>
      <c r="N211" s="1" t="s">
        <v>3983</v>
      </c>
      <c r="O211" s="1" t="s">
        <v>2521</v>
      </c>
      <c r="P211" s="1" t="s">
        <v>3956</v>
      </c>
      <c r="Q211" s="1" t="s">
        <v>3878</v>
      </c>
      <c r="R211" s="1" t="s">
        <v>4301</v>
      </c>
      <c r="S211" s="1" t="s">
        <v>4937</v>
      </c>
      <c r="T211" s="6">
        <v>44593</v>
      </c>
      <c r="U211" s="6">
        <v>44599</v>
      </c>
      <c r="V211" s="7">
        <v>0.41666666666666669</v>
      </c>
      <c r="W211" s="6">
        <v>44602</v>
      </c>
      <c r="X211" s="7">
        <v>0</v>
      </c>
      <c r="Y211" s="1" t="s">
        <v>4860</v>
      </c>
      <c r="Z211" s="5">
        <v>510</v>
      </c>
      <c r="AA211" s="1" t="s">
        <v>3403</v>
      </c>
      <c r="AB211" s="1"/>
      <c r="AC211" s="1"/>
      <c r="AD211" s="1"/>
      <c r="AE211" s="1" t="s">
        <v>3711</v>
      </c>
      <c r="AF211" s="1" t="s">
        <v>9</v>
      </c>
      <c r="AG211" s="4">
        <v>13</v>
      </c>
      <c r="AH211" s="6">
        <v>44617</v>
      </c>
      <c r="AI211" s="6">
        <v>44835</v>
      </c>
    </row>
    <row r="212" spans="1:35" x14ac:dyDescent="0.3">
      <c r="A212" s="1" t="s">
        <v>2234</v>
      </c>
      <c r="B212" s="2" t="str">
        <f>HYPERLINK("https://my.zakupki.prom.ua/remote/dispatcher/state_purchase_view/34693787")</f>
        <v>https://my.zakupki.prom.ua/remote/dispatcher/state_purchase_view/34693787</v>
      </c>
      <c r="C212" s="1" t="s">
        <v>2779</v>
      </c>
      <c r="D212" s="1" t="s">
        <v>387</v>
      </c>
      <c r="E212" s="4">
        <v>11036865</v>
      </c>
      <c r="F212" s="5">
        <v>3.98</v>
      </c>
      <c r="G212" s="1" t="s">
        <v>3235</v>
      </c>
      <c r="H212" s="1" t="s">
        <v>722</v>
      </c>
      <c r="I212" s="1" t="s">
        <v>3404</v>
      </c>
      <c r="J212" s="5">
        <v>43965352</v>
      </c>
      <c r="K212" s="1" t="s">
        <v>3394</v>
      </c>
      <c r="L212" s="5">
        <v>439653.52</v>
      </c>
      <c r="M212" s="1" t="s">
        <v>2308</v>
      </c>
      <c r="N212" s="1" t="s">
        <v>3983</v>
      </c>
      <c r="O212" s="1" t="s">
        <v>2521</v>
      </c>
      <c r="P212" s="1" t="s">
        <v>2516</v>
      </c>
      <c r="Q212" s="1" t="s">
        <v>3325</v>
      </c>
      <c r="R212" s="1" t="s">
        <v>4642</v>
      </c>
      <c r="S212" s="1" t="s">
        <v>4971</v>
      </c>
      <c r="T212" s="6">
        <v>44593</v>
      </c>
      <c r="U212" s="6">
        <v>44593</v>
      </c>
      <c r="V212" s="7">
        <v>0.59476877859953703</v>
      </c>
      <c r="W212" s="6">
        <v>44624</v>
      </c>
      <c r="X212" s="7">
        <v>0.41666666666666669</v>
      </c>
      <c r="Y212" s="8">
        <v>44662.531215277777</v>
      </c>
      <c r="Z212" s="5">
        <v>3400</v>
      </c>
      <c r="AA212" s="1" t="s">
        <v>3403</v>
      </c>
      <c r="AB212" s="1"/>
      <c r="AC212" s="1"/>
      <c r="AD212" s="1"/>
      <c r="AE212" s="1" t="s">
        <v>3807</v>
      </c>
      <c r="AF212" s="1" t="s">
        <v>9</v>
      </c>
      <c r="AG212" s="4">
        <v>2</v>
      </c>
      <c r="AH212" s="6">
        <v>44682</v>
      </c>
      <c r="AI212" s="6">
        <v>44926</v>
      </c>
    </row>
    <row r="213" spans="1:35" x14ac:dyDescent="0.3">
      <c r="A213" s="1" t="s">
        <v>2233</v>
      </c>
      <c r="B213" s="2" t="str">
        <f>HYPERLINK("https://my.zakupki.prom.ua/remote/dispatcher/state_purchase_view/34694584")</f>
        <v>https://my.zakupki.prom.ua/remote/dispatcher/state_purchase_view/34694584</v>
      </c>
      <c r="C213" s="1" t="s">
        <v>4786</v>
      </c>
      <c r="D213" s="1" t="s">
        <v>453</v>
      </c>
      <c r="E213" s="4">
        <v>740</v>
      </c>
      <c r="F213" s="5">
        <v>130</v>
      </c>
      <c r="G213" s="1" t="s">
        <v>4901</v>
      </c>
      <c r="H213" s="1" t="s">
        <v>306</v>
      </c>
      <c r="I213" s="1" t="s">
        <v>3470</v>
      </c>
      <c r="J213" s="5">
        <v>96200</v>
      </c>
      <c r="K213" s="1" t="s">
        <v>3394</v>
      </c>
      <c r="L213" s="5">
        <v>481</v>
      </c>
      <c r="M213" s="1" t="s">
        <v>2308</v>
      </c>
      <c r="N213" s="1" t="s">
        <v>3403</v>
      </c>
      <c r="O213" s="1" t="s">
        <v>2521</v>
      </c>
      <c r="P213" s="1" t="s">
        <v>3956</v>
      </c>
      <c r="Q213" s="1" t="s">
        <v>4798</v>
      </c>
      <c r="R213" s="1" t="s">
        <v>4081</v>
      </c>
      <c r="S213" s="1" t="s">
        <v>4937</v>
      </c>
      <c r="T213" s="6">
        <v>44593</v>
      </c>
      <c r="U213" s="6">
        <v>44599</v>
      </c>
      <c r="V213" s="7">
        <v>0</v>
      </c>
      <c r="W213" s="6">
        <v>44602</v>
      </c>
      <c r="X213" s="7">
        <v>0</v>
      </c>
      <c r="Y213" s="1" t="s">
        <v>4860</v>
      </c>
      <c r="Z213" s="5">
        <v>340</v>
      </c>
      <c r="AA213" s="1" t="s">
        <v>3403</v>
      </c>
      <c r="AB213" s="1"/>
      <c r="AC213" s="1"/>
      <c r="AD213" s="1"/>
      <c r="AE213" s="1" t="s">
        <v>3776</v>
      </c>
      <c r="AF213" s="1" t="s">
        <v>9</v>
      </c>
      <c r="AG213" s="4">
        <v>1</v>
      </c>
      <c r="AH213" s="6">
        <v>44606</v>
      </c>
      <c r="AI213" s="6">
        <v>44926</v>
      </c>
    </row>
    <row r="214" spans="1:35" x14ac:dyDescent="0.3">
      <c r="A214" s="1" t="s">
        <v>2231</v>
      </c>
      <c r="B214" s="2" t="str">
        <f>HYPERLINK("https://my.zakupki.prom.ua/remote/dispatcher/state_purchase_view/34694579")</f>
        <v>https://my.zakupki.prom.ua/remote/dispatcher/state_purchase_view/34694579</v>
      </c>
      <c r="C214" s="1" t="s">
        <v>2411</v>
      </c>
      <c r="D214" s="1" t="s">
        <v>373</v>
      </c>
      <c r="E214" s="4">
        <v>6248</v>
      </c>
      <c r="F214" s="5">
        <v>32</v>
      </c>
      <c r="G214" s="1" t="s">
        <v>4908</v>
      </c>
      <c r="H214" s="1" t="s">
        <v>289</v>
      </c>
      <c r="I214" s="1" t="s">
        <v>3219</v>
      </c>
      <c r="J214" s="5">
        <v>199936</v>
      </c>
      <c r="K214" s="1" t="s">
        <v>3394</v>
      </c>
      <c r="L214" s="5">
        <v>999.68</v>
      </c>
      <c r="M214" s="1" t="s">
        <v>2308</v>
      </c>
      <c r="N214" s="1" t="s">
        <v>3983</v>
      </c>
      <c r="O214" s="1" t="s">
        <v>2521</v>
      </c>
      <c r="P214" s="1" t="s">
        <v>3956</v>
      </c>
      <c r="Q214" s="1" t="s">
        <v>3262</v>
      </c>
      <c r="R214" s="1" t="s">
        <v>4081</v>
      </c>
      <c r="S214" s="1" t="s">
        <v>4937</v>
      </c>
      <c r="T214" s="6">
        <v>44593</v>
      </c>
      <c r="U214" s="6">
        <v>44599</v>
      </c>
      <c r="V214" s="7">
        <v>0.5</v>
      </c>
      <c r="W214" s="6">
        <v>44603</v>
      </c>
      <c r="X214" s="7">
        <v>0.5</v>
      </c>
      <c r="Y214" s="1" t="s">
        <v>4860</v>
      </c>
      <c r="Z214" s="5">
        <v>340</v>
      </c>
      <c r="AA214" s="1" t="s">
        <v>3403</v>
      </c>
      <c r="AB214" s="1"/>
      <c r="AC214" s="1"/>
      <c r="AD214" s="1"/>
      <c r="AE214" s="1" t="s">
        <v>3765</v>
      </c>
      <c r="AF214" s="1" t="s">
        <v>9</v>
      </c>
      <c r="AG214" s="1" t="s">
        <v>9</v>
      </c>
      <c r="AH214" s="1"/>
      <c r="AI214" s="6">
        <v>44926</v>
      </c>
    </row>
    <row r="215" spans="1:35" x14ac:dyDescent="0.3">
      <c r="A215" s="1" t="s">
        <v>1497</v>
      </c>
      <c r="B215" s="2" t="str">
        <f>HYPERLINK("https://my.zakupki.prom.ua/remote/dispatcher/state_purchase_view/34694555")</f>
        <v>https://my.zakupki.prom.ua/remote/dispatcher/state_purchase_view/34694555</v>
      </c>
      <c r="C215" s="1" t="s">
        <v>2753</v>
      </c>
      <c r="D215" s="1" t="s">
        <v>383</v>
      </c>
      <c r="E215" s="1" t="s">
        <v>4903</v>
      </c>
      <c r="F215" s="1" t="s">
        <v>4903</v>
      </c>
      <c r="G215" s="1" t="s">
        <v>4903</v>
      </c>
      <c r="H215" s="1" t="s">
        <v>1055</v>
      </c>
      <c r="I215" s="1" t="s">
        <v>2919</v>
      </c>
      <c r="J215" s="5">
        <v>840000</v>
      </c>
      <c r="K215" s="1" t="s">
        <v>3394</v>
      </c>
      <c r="L215" s="5">
        <v>8400</v>
      </c>
      <c r="M215" s="1" t="s">
        <v>2308</v>
      </c>
      <c r="N215" s="1" t="s">
        <v>3983</v>
      </c>
      <c r="O215" s="1" t="s">
        <v>2521</v>
      </c>
      <c r="P215" s="1" t="s">
        <v>2515</v>
      </c>
      <c r="Q215" s="1" t="s">
        <v>2808</v>
      </c>
      <c r="R215" s="1" t="s">
        <v>4257</v>
      </c>
      <c r="S215" s="1" t="s">
        <v>4971</v>
      </c>
      <c r="T215" s="6">
        <v>44593</v>
      </c>
      <c r="U215" s="6">
        <v>44593</v>
      </c>
      <c r="V215" s="7">
        <v>0.58710932836805552</v>
      </c>
      <c r="W215" s="6">
        <v>44609</v>
      </c>
      <c r="X215" s="7">
        <v>0.70833333333333337</v>
      </c>
      <c r="Y215" s="8">
        <v>44610.641064814816</v>
      </c>
      <c r="Z215" s="5">
        <v>510</v>
      </c>
      <c r="AA215" s="1" t="s">
        <v>3403</v>
      </c>
      <c r="AB215" s="1"/>
      <c r="AC215" s="1"/>
      <c r="AD215" s="1"/>
      <c r="AE215" s="1" t="s">
        <v>3788</v>
      </c>
      <c r="AF215" s="1" t="s">
        <v>9</v>
      </c>
      <c r="AG215" s="4">
        <v>1</v>
      </c>
      <c r="AH215" s="1"/>
      <c r="AI215" s="6">
        <v>44926</v>
      </c>
    </row>
    <row r="216" spans="1:35" x14ac:dyDescent="0.3">
      <c r="A216" s="1" t="s">
        <v>1833</v>
      </c>
      <c r="B216" s="2" t="str">
        <f>HYPERLINK("https://my.zakupki.prom.ua/remote/dispatcher/state_purchase_view/34694536")</f>
        <v>https://my.zakupki.prom.ua/remote/dispatcher/state_purchase_view/34694536</v>
      </c>
      <c r="C216" s="1" t="s">
        <v>2644</v>
      </c>
      <c r="D216" s="1" t="s">
        <v>728</v>
      </c>
      <c r="E216" s="4">
        <v>336</v>
      </c>
      <c r="F216" s="5">
        <v>942.7</v>
      </c>
      <c r="G216" s="1" t="s">
        <v>4991</v>
      </c>
      <c r="H216" s="1" t="s">
        <v>549</v>
      </c>
      <c r="I216" s="1" t="s">
        <v>3651</v>
      </c>
      <c r="J216" s="5">
        <v>316747.49</v>
      </c>
      <c r="K216" s="1" t="s">
        <v>3394</v>
      </c>
      <c r="L216" s="5">
        <v>3167.47</v>
      </c>
      <c r="M216" s="1" t="s">
        <v>2308</v>
      </c>
      <c r="N216" s="1" t="s">
        <v>3403</v>
      </c>
      <c r="O216" s="1" t="s">
        <v>2521</v>
      </c>
      <c r="P216" s="1" t="s">
        <v>3956</v>
      </c>
      <c r="Q216" s="1" t="s">
        <v>3035</v>
      </c>
      <c r="R216" s="1" t="s">
        <v>4081</v>
      </c>
      <c r="S216" s="1" t="s">
        <v>4937</v>
      </c>
      <c r="T216" s="6">
        <v>44593</v>
      </c>
      <c r="U216" s="6">
        <v>44599</v>
      </c>
      <c r="V216" s="7">
        <v>0.41666666666666669</v>
      </c>
      <c r="W216" s="6">
        <v>44602</v>
      </c>
      <c r="X216" s="7">
        <v>0.41666666666666669</v>
      </c>
      <c r="Y216" s="1" t="s">
        <v>4860</v>
      </c>
      <c r="Z216" s="5">
        <v>510</v>
      </c>
      <c r="AA216" s="1" t="s">
        <v>3403</v>
      </c>
      <c r="AB216" s="1"/>
      <c r="AC216" s="1"/>
      <c r="AD216" s="1"/>
      <c r="AE216" s="1" t="s">
        <v>3715</v>
      </c>
      <c r="AF216" s="1" t="s">
        <v>9</v>
      </c>
      <c r="AG216" s="4">
        <v>90</v>
      </c>
      <c r="AH216" s="1"/>
      <c r="AI216" s="6">
        <v>44638</v>
      </c>
    </row>
    <row r="217" spans="1:35" x14ac:dyDescent="0.3">
      <c r="A217" s="1" t="s">
        <v>1821</v>
      </c>
      <c r="B217" s="2" t="str">
        <f>HYPERLINK("https://my.zakupki.prom.ua/remote/dispatcher/state_purchase_lot_view/740779")</f>
        <v>https://my.zakupki.prom.ua/remote/dispatcher/state_purchase_lot_view/740779</v>
      </c>
      <c r="C217" s="1" t="s">
        <v>3283</v>
      </c>
      <c r="D217" s="1" t="s">
        <v>441</v>
      </c>
      <c r="E217" s="4">
        <v>2000</v>
      </c>
      <c r="F217" s="5">
        <v>76</v>
      </c>
      <c r="G217" s="1" t="s">
        <v>4901</v>
      </c>
      <c r="H217" s="1" t="s">
        <v>181</v>
      </c>
      <c r="I217" s="1" t="s">
        <v>3074</v>
      </c>
      <c r="J217" s="5">
        <v>152000</v>
      </c>
      <c r="K217" s="5">
        <v>152000</v>
      </c>
      <c r="L217" s="5">
        <v>760</v>
      </c>
      <c r="M217" s="1" t="s">
        <v>2308</v>
      </c>
      <c r="N217" s="1" t="s">
        <v>3983</v>
      </c>
      <c r="O217" s="1" t="s">
        <v>2521</v>
      </c>
      <c r="P217" s="1" t="s">
        <v>2515</v>
      </c>
      <c r="Q217" s="1" t="s">
        <v>2820</v>
      </c>
      <c r="R217" s="1" t="s">
        <v>4406</v>
      </c>
      <c r="S217" s="1" t="s">
        <v>4971</v>
      </c>
      <c r="T217" s="6">
        <v>44593</v>
      </c>
      <c r="U217" s="6">
        <v>44593</v>
      </c>
      <c r="V217" s="7">
        <v>0.59096285145833338</v>
      </c>
      <c r="W217" s="6">
        <v>44609</v>
      </c>
      <c r="X217" s="7">
        <v>0</v>
      </c>
      <c r="Y217" s="8">
        <v>44609.556770833333</v>
      </c>
      <c r="Z217" s="5">
        <v>340</v>
      </c>
      <c r="AA217" s="1" t="s">
        <v>3403</v>
      </c>
      <c r="AB217" s="1"/>
      <c r="AC217" s="1"/>
      <c r="AD217" s="1"/>
      <c r="AE217" s="1" t="s">
        <v>3788</v>
      </c>
      <c r="AF217" s="1" t="s">
        <v>9</v>
      </c>
      <c r="AG217" s="4">
        <v>2</v>
      </c>
      <c r="AH217" s="1"/>
      <c r="AI217" s="6">
        <v>44926</v>
      </c>
    </row>
    <row r="218" spans="1:35" x14ac:dyDescent="0.3">
      <c r="A218" s="1" t="s">
        <v>2229</v>
      </c>
      <c r="B218" s="2" t="str">
        <f>HYPERLINK("https://my.zakupki.prom.ua/remote/dispatcher/state_purchase_view/34694407")</f>
        <v>https://my.zakupki.prom.ua/remote/dispatcher/state_purchase_view/34694407</v>
      </c>
      <c r="C218" s="1" t="s">
        <v>2619</v>
      </c>
      <c r="D218" s="1" t="s">
        <v>694</v>
      </c>
      <c r="E218" s="4">
        <v>1150</v>
      </c>
      <c r="F218" s="5">
        <v>110.17</v>
      </c>
      <c r="G218" s="1" t="s">
        <v>4930</v>
      </c>
      <c r="H218" s="1" t="s">
        <v>614</v>
      </c>
      <c r="I218" s="1" t="s">
        <v>4034</v>
      </c>
      <c r="J218" s="5">
        <v>126700</v>
      </c>
      <c r="K218" s="1" t="s">
        <v>3394</v>
      </c>
      <c r="L218" s="5">
        <v>1267</v>
      </c>
      <c r="M218" s="1" t="s">
        <v>2308</v>
      </c>
      <c r="N218" s="1" t="s">
        <v>3403</v>
      </c>
      <c r="O218" s="1" t="s">
        <v>2521</v>
      </c>
      <c r="P218" s="1" t="s">
        <v>3956</v>
      </c>
      <c r="Q218" s="1" t="s">
        <v>3262</v>
      </c>
      <c r="R218" s="1" t="s">
        <v>4145</v>
      </c>
      <c r="S218" s="1" t="s">
        <v>4937</v>
      </c>
      <c r="T218" s="6">
        <v>44593</v>
      </c>
      <c r="U218" s="6">
        <v>44599</v>
      </c>
      <c r="V218" s="7">
        <v>0.625</v>
      </c>
      <c r="W218" s="6">
        <v>44602</v>
      </c>
      <c r="X218" s="7">
        <v>0.56527777777777777</v>
      </c>
      <c r="Y218" s="1" t="s">
        <v>4860</v>
      </c>
      <c r="Z218" s="5">
        <v>340</v>
      </c>
      <c r="AA218" s="1" t="s">
        <v>3403</v>
      </c>
      <c r="AB218" s="1"/>
      <c r="AC218" s="1"/>
      <c r="AD218" s="1"/>
      <c r="AE218" s="1" t="s">
        <v>3803</v>
      </c>
      <c r="AF218" s="1" t="s">
        <v>9</v>
      </c>
      <c r="AG218" s="4">
        <v>2</v>
      </c>
      <c r="AH218" s="1"/>
      <c r="AI218" s="6">
        <v>44926</v>
      </c>
    </row>
    <row r="219" spans="1:35" x14ac:dyDescent="0.3">
      <c r="A219" s="1" t="s">
        <v>2228</v>
      </c>
      <c r="B219" s="2" t="str">
        <f>HYPERLINK("https://my.zakupki.prom.ua/remote/dispatcher/state_purchase_lot_view/740777")</f>
        <v>https://my.zakupki.prom.ua/remote/dispatcher/state_purchase_lot_view/740777</v>
      </c>
      <c r="C219" s="1" t="s">
        <v>2536</v>
      </c>
      <c r="D219" s="1" t="s">
        <v>370</v>
      </c>
      <c r="E219" s="4">
        <v>20000</v>
      </c>
      <c r="F219" s="5">
        <v>19.36</v>
      </c>
      <c r="G219" s="1" t="s">
        <v>4908</v>
      </c>
      <c r="H219" s="1" t="s">
        <v>258</v>
      </c>
      <c r="I219" s="1" t="s">
        <v>3189</v>
      </c>
      <c r="J219" s="5">
        <v>774560</v>
      </c>
      <c r="K219" s="5">
        <v>387280</v>
      </c>
      <c r="L219" s="5">
        <v>1936.4</v>
      </c>
      <c r="M219" s="1" t="s">
        <v>2308</v>
      </c>
      <c r="N219" s="1" t="s">
        <v>3983</v>
      </c>
      <c r="O219" s="1" t="s">
        <v>2521</v>
      </c>
      <c r="P219" s="1" t="s">
        <v>2515</v>
      </c>
      <c r="Q219" s="1" t="s">
        <v>3035</v>
      </c>
      <c r="R219" s="1" t="s">
        <v>4141</v>
      </c>
      <c r="S219" s="1" t="s">
        <v>4971</v>
      </c>
      <c r="T219" s="6">
        <v>44593</v>
      </c>
      <c r="U219" s="6">
        <v>44593</v>
      </c>
      <c r="V219" s="7">
        <v>0.59263344068287038</v>
      </c>
      <c r="W219" s="6">
        <v>44609</v>
      </c>
      <c r="X219" s="7">
        <v>0.75</v>
      </c>
      <c r="Y219" s="8">
        <v>44610.572245370371</v>
      </c>
      <c r="Z219" s="5">
        <v>510</v>
      </c>
      <c r="AA219" s="1" t="s">
        <v>3403</v>
      </c>
      <c r="AB219" s="1"/>
      <c r="AC219" s="1"/>
      <c r="AD219" s="1"/>
      <c r="AE219" s="1" t="s">
        <v>3806</v>
      </c>
      <c r="AF219" s="1" t="s">
        <v>9</v>
      </c>
      <c r="AG219" s="4">
        <v>40</v>
      </c>
      <c r="AH219" s="1"/>
      <c r="AI219" s="6">
        <v>44926</v>
      </c>
    </row>
    <row r="220" spans="1:35" x14ac:dyDescent="0.3">
      <c r="A220" s="1" t="s">
        <v>2228</v>
      </c>
      <c r="B220" s="2" t="str">
        <f>HYPERLINK("https://my.zakupki.prom.ua/remote/dispatcher/state_purchase_lot_view/740778")</f>
        <v>https://my.zakupki.prom.ua/remote/dispatcher/state_purchase_lot_view/740778</v>
      </c>
      <c r="C220" s="1" t="s">
        <v>2537</v>
      </c>
      <c r="D220" s="1" t="s">
        <v>370</v>
      </c>
      <c r="E220" s="4">
        <v>20000</v>
      </c>
      <c r="F220" s="5">
        <v>19.36</v>
      </c>
      <c r="G220" s="1" t="s">
        <v>4908</v>
      </c>
      <c r="H220" s="1" t="s">
        <v>258</v>
      </c>
      <c r="I220" s="1" t="s">
        <v>3189</v>
      </c>
      <c r="J220" s="5">
        <v>774560</v>
      </c>
      <c r="K220" s="5">
        <v>387280</v>
      </c>
      <c r="L220" s="5">
        <v>1936.4</v>
      </c>
      <c r="M220" s="1" t="s">
        <v>2308</v>
      </c>
      <c r="N220" s="1" t="s">
        <v>3983</v>
      </c>
      <c r="O220" s="1" t="s">
        <v>2521</v>
      </c>
      <c r="P220" s="1" t="s">
        <v>2515</v>
      </c>
      <c r="Q220" s="1" t="s">
        <v>3035</v>
      </c>
      <c r="R220" s="1" t="s">
        <v>4141</v>
      </c>
      <c r="S220" s="1" t="s">
        <v>4971</v>
      </c>
      <c r="T220" s="6">
        <v>44593</v>
      </c>
      <c r="U220" s="6">
        <v>44593</v>
      </c>
      <c r="V220" s="7">
        <v>0.59263344068287038</v>
      </c>
      <c r="W220" s="6">
        <v>44609</v>
      </c>
      <c r="X220" s="7">
        <v>0.75</v>
      </c>
      <c r="Y220" s="8">
        <v>44610.599282407406</v>
      </c>
      <c r="Z220" s="5">
        <v>510</v>
      </c>
      <c r="AA220" s="1" t="s">
        <v>3403</v>
      </c>
      <c r="AB220" s="1"/>
      <c r="AC220" s="1"/>
      <c r="AD220" s="1"/>
      <c r="AE220" s="1" t="s">
        <v>3806</v>
      </c>
      <c r="AF220" s="1" t="s">
        <v>9</v>
      </c>
      <c r="AG220" s="4">
        <v>40</v>
      </c>
      <c r="AH220" s="1"/>
      <c r="AI220" s="6">
        <v>44926</v>
      </c>
    </row>
    <row r="221" spans="1:35" x14ac:dyDescent="0.3">
      <c r="A221" s="1" t="s">
        <v>2227</v>
      </c>
      <c r="B221" s="2" t="str">
        <f>HYPERLINK("https://my.zakupki.prom.ua/remote/dispatcher/state_purchase_view/34694372")</f>
        <v>https://my.zakupki.prom.ua/remote/dispatcher/state_purchase_view/34694372</v>
      </c>
      <c r="C221" s="1" t="s">
        <v>3383</v>
      </c>
      <c r="D221" s="1" t="s">
        <v>373</v>
      </c>
      <c r="E221" s="1" t="s">
        <v>4903</v>
      </c>
      <c r="F221" s="1" t="s">
        <v>4903</v>
      </c>
      <c r="G221" s="1" t="s">
        <v>4903</v>
      </c>
      <c r="H221" s="1" t="s">
        <v>917</v>
      </c>
      <c r="I221" s="1" t="s">
        <v>969</v>
      </c>
      <c r="J221" s="5">
        <v>561900</v>
      </c>
      <c r="K221" s="1" t="s">
        <v>3394</v>
      </c>
      <c r="L221" s="5">
        <v>5619</v>
      </c>
      <c r="M221" s="1" t="s">
        <v>2308</v>
      </c>
      <c r="N221" s="1" t="s">
        <v>3983</v>
      </c>
      <c r="O221" s="1" t="s">
        <v>2521</v>
      </c>
      <c r="P221" s="1" t="s">
        <v>2515</v>
      </c>
      <c r="Q221" s="1" t="s">
        <v>4805</v>
      </c>
      <c r="R221" s="1" t="s">
        <v>4081</v>
      </c>
      <c r="S221" s="1" t="s">
        <v>4971</v>
      </c>
      <c r="T221" s="6">
        <v>44593</v>
      </c>
      <c r="U221" s="6">
        <v>44593</v>
      </c>
      <c r="V221" s="7">
        <v>0.59232153129629628</v>
      </c>
      <c r="W221" s="6">
        <v>44615</v>
      </c>
      <c r="X221" s="7">
        <v>0.54166666666666663</v>
      </c>
      <c r="Y221" s="8">
        <v>44616.633935185186</v>
      </c>
      <c r="Z221" s="5">
        <v>510</v>
      </c>
      <c r="AA221" s="1" t="s">
        <v>3403</v>
      </c>
      <c r="AB221" s="1"/>
      <c r="AC221" s="1"/>
      <c r="AD221" s="1"/>
      <c r="AE221" s="1" t="s">
        <v>3774</v>
      </c>
      <c r="AF221" s="1" t="s">
        <v>9</v>
      </c>
      <c r="AG221" s="4">
        <v>1</v>
      </c>
      <c r="AH221" s="6">
        <v>44593</v>
      </c>
      <c r="AI221" s="6">
        <v>44926</v>
      </c>
    </row>
    <row r="222" spans="1:35" x14ac:dyDescent="0.3">
      <c r="A222" s="1" t="s">
        <v>1808</v>
      </c>
      <c r="B222" s="2" t="str">
        <f>HYPERLINK("https://my.zakupki.prom.ua/remote/dispatcher/state_purchase_view/34694365")</f>
        <v>https://my.zakupki.prom.ua/remote/dispatcher/state_purchase_view/34694365</v>
      </c>
      <c r="C222" s="1" t="s">
        <v>2792</v>
      </c>
      <c r="D222" s="1" t="s">
        <v>510</v>
      </c>
      <c r="E222" s="1" t="s">
        <v>4903</v>
      </c>
      <c r="F222" s="1" t="s">
        <v>4903</v>
      </c>
      <c r="G222" s="1" t="s">
        <v>4903</v>
      </c>
      <c r="H222" s="1" t="s">
        <v>106</v>
      </c>
      <c r="I222" s="1" t="s">
        <v>3120</v>
      </c>
      <c r="J222" s="5">
        <v>168858</v>
      </c>
      <c r="K222" s="1" t="s">
        <v>3394</v>
      </c>
      <c r="L222" s="5">
        <v>844.29</v>
      </c>
      <c r="M222" s="1" t="s">
        <v>2308</v>
      </c>
      <c r="N222" s="1" t="s">
        <v>3983</v>
      </c>
      <c r="O222" s="1" t="s">
        <v>2521</v>
      </c>
      <c r="P222" s="1" t="s">
        <v>2515</v>
      </c>
      <c r="Q222" s="1" t="s">
        <v>4794</v>
      </c>
      <c r="R222" s="1" t="s">
        <v>4418</v>
      </c>
      <c r="S222" s="1" t="s">
        <v>4971</v>
      </c>
      <c r="T222" s="6">
        <v>44593</v>
      </c>
      <c r="U222" s="6">
        <v>44593</v>
      </c>
      <c r="V222" s="7">
        <v>0.585346550150463</v>
      </c>
      <c r="W222" s="6">
        <v>44609</v>
      </c>
      <c r="X222" s="7">
        <v>0.625</v>
      </c>
      <c r="Y222" s="8">
        <v>44610.542303240742</v>
      </c>
      <c r="Z222" s="5">
        <v>340</v>
      </c>
      <c r="AA222" s="1" t="s">
        <v>3403</v>
      </c>
      <c r="AB222" s="1"/>
      <c r="AC222" s="1"/>
      <c r="AD222" s="1"/>
      <c r="AE222" s="1" t="s">
        <v>3772</v>
      </c>
      <c r="AF222" s="1" t="s">
        <v>9</v>
      </c>
      <c r="AG222" s="1" t="s">
        <v>9</v>
      </c>
      <c r="AH222" s="1"/>
      <c r="AI222" s="6">
        <v>44919</v>
      </c>
    </row>
    <row r="223" spans="1:35" x14ac:dyDescent="0.3">
      <c r="A223" s="1" t="s">
        <v>2226</v>
      </c>
      <c r="B223" s="2" t="str">
        <f>HYPERLINK("https://my.zakupki.prom.ua/remote/dispatcher/state_purchase_view/34694332")</f>
        <v>https://my.zakupki.prom.ua/remote/dispatcher/state_purchase_view/34694332</v>
      </c>
      <c r="C223" s="1" t="s">
        <v>4977</v>
      </c>
      <c r="D223" s="1" t="s">
        <v>1289</v>
      </c>
      <c r="E223" s="4">
        <v>13</v>
      </c>
      <c r="F223" s="5">
        <v>1692.31</v>
      </c>
      <c r="G223" s="1" t="s">
        <v>4924</v>
      </c>
      <c r="H223" s="1" t="s">
        <v>231</v>
      </c>
      <c r="I223" s="1" t="s">
        <v>3179</v>
      </c>
      <c r="J223" s="5">
        <v>22000</v>
      </c>
      <c r="K223" s="1" t="s">
        <v>3394</v>
      </c>
      <c r="L223" s="5">
        <v>110</v>
      </c>
      <c r="M223" s="1" t="s">
        <v>2308</v>
      </c>
      <c r="N223" s="1" t="s">
        <v>3983</v>
      </c>
      <c r="O223" s="1" t="s">
        <v>2521</v>
      </c>
      <c r="P223" s="1" t="s">
        <v>3956</v>
      </c>
      <c r="Q223" s="1" t="s">
        <v>2820</v>
      </c>
      <c r="R223" s="1" t="s">
        <v>4081</v>
      </c>
      <c r="S223" s="1" t="s">
        <v>4937</v>
      </c>
      <c r="T223" s="6">
        <v>44593</v>
      </c>
      <c r="U223" s="6">
        <v>44599</v>
      </c>
      <c r="V223" s="7">
        <v>0.66666666666666663</v>
      </c>
      <c r="W223" s="6">
        <v>44602</v>
      </c>
      <c r="X223" s="7">
        <v>0.70833333333333337</v>
      </c>
      <c r="Y223" s="1" t="s">
        <v>4860</v>
      </c>
      <c r="Z223" s="5">
        <v>119</v>
      </c>
      <c r="AA223" s="1" t="s">
        <v>3403</v>
      </c>
      <c r="AB223" s="1"/>
      <c r="AC223" s="1"/>
      <c r="AD223" s="1"/>
      <c r="AE223" s="1" t="s">
        <v>2355</v>
      </c>
      <c r="AF223" s="1" t="s">
        <v>9</v>
      </c>
      <c r="AG223" s="4">
        <v>6</v>
      </c>
      <c r="AH223" s="1"/>
      <c r="AI223" s="6">
        <v>44926</v>
      </c>
    </row>
    <row r="224" spans="1:35" x14ac:dyDescent="0.3">
      <c r="A224" s="1" t="s">
        <v>1796</v>
      </c>
      <c r="B224" s="2" t="str">
        <f>HYPERLINK("https://my.zakupki.prom.ua/remote/dispatcher/state_purchase_view/34694329")</f>
        <v>https://my.zakupki.prom.ua/remote/dispatcher/state_purchase_view/34694329</v>
      </c>
      <c r="C224" s="1" t="s">
        <v>8</v>
      </c>
      <c r="D224" s="1" t="s">
        <v>449</v>
      </c>
      <c r="E224" s="1" t="s">
        <v>4903</v>
      </c>
      <c r="F224" s="1" t="s">
        <v>4903</v>
      </c>
      <c r="G224" s="1" t="s">
        <v>4903</v>
      </c>
      <c r="H224" s="1" t="s">
        <v>193</v>
      </c>
      <c r="I224" s="1" t="s">
        <v>3936</v>
      </c>
      <c r="J224" s="5">
        <v>260000</v>
      </c>
      <c r="K224" s="1" t="s">
        <v>3394</v>
      </c>
      <c r="L224" s="5">
        <v>2600</v>
      </c>
      <c r="M224" s="1" t="s">
        <v>2308</v>
      </c>
      <c r="N224" s="1" t="s">
        <v>3983</v>
      </c>
      <c r="O224" s="1" t="s">
        <v>659</v>
      </c>
      <c r="P224" s="1" t="s">
        <v>2515</v>
      </c>
      <c r="Q224" s="1" t="s">
        <v>4831</v>
      </c>
      <c r="R224" s="1" t="s">
        <v>4644</v>
      </c>
      <c r="S224" s="1" t="s">
        <v>4971</v>
      </c>
      <c r="T224" s="6">
        <v>44593</v>
      </c>
      <c r="U224" s="6">
        <v>44593</v>
      </c>
      <c r="V224" s="7">
        <v>0.58284944891203705</v>
      </c>
      <c r="W224" s="6">
        <v>44609</v>
      </c>
      <c r="X224" s="7">
        <v>0</v>
      </c>
      <c r="Y224" s="8">
        <v>44609.498437499999</v>
      </c>
      <c r="Z224" s="5">
        <v>510</v>
      </c>
      <c r="AA224" s="1" t="s">
        <v>3403</v>
      </c>
      <c r="AB224" s="1"/>
      <c r="AC224" s="1"/>
      <c r="AD224" s="1"/>
      <c r="AE224" s="1" t="s">
        <v>3801</v>
      </c>
      <c r="AF224" s="1" t="s">
        <v>9</v>
      </c>
      <c r="AG224" s="4">
        <v>12</v>
      </c>
      <c r="AH224" s="1"/>
      <c r="AI224" s="6">
        <v>44926</v>
      </c>
    </row>
    <row r="225" spans="1:35" x14ac:dyDescent="0.3">
      <c r="A225" s="1" t="s">
        <v>1504</v>
      </c>
      <c r="B225" s="2" t="str">
        <f>HYPERLINK("https://my.zakupki.prom.ua/remote/dispatcher/state_purchase_view/34694323")</f>
        <v>https://my.zakupki.prom.ua/remote/dispatcher/state_purchase_view/34694323</v>
      </c>
      <c r="C225" s="1" t="s">
        <v>2775</v>
      </c>
      <c r="D225" s="1" t="s">
        <v>387</v>
      </c>
      <c r="E225" s="4">
        <v>2410</v>
      </c>
      <c r="F225" s="5">
        <v>6.5</v>
      </c>
      <c r="G225" s="1" t="s">
        <v>4879</v>
      </c>
      <c r="H225" s="1" t="s">
        <v>1116</v>
      </c>
      <c r="I225" s="1" t="s">
        <v>3406</v>
      </c>
      <c r="J225" s="5">
        <v>15665</v>
      </c>
      <c r="K225" s="1" t="s">
        <v>3394</v>
      </c>
      <c r="L225" s="5">
        <v>78.33</v>
      </c>
      <c r="M225" s="1" t="s">
        <v>2308</v>
      </c>
      <c r="N225" s="1" t="s">
        <v>3983</v>
      </c>
      <c r="O225" s="1" t="s">
        <v>2521</v>
      </c>
      <c r="P225" s="1" t="s">
        <v>3956</v>
      </c>
      <c r="Q225" s="1" t="s">
        <v>2761</v>
      </c>
      <c r="R225" s="1" t="s">
        <v>4297</v>
      </c>
      <c r="S225" s="1" t="s">
        <v>4937</v>
      </c>
      <c r="T225" s="6">
        <v>44593</v>
      </c>
      <c r="U225" s="6">
        <v>44599</v>
      </c>
      <c r="V225" s="7">
        <v>0.625</v>
      </c>
      <c r="W225" s="6">
        <v>44603</v>
      </c>
      <c r="X225" s="7">
        <v>0.5</v>
      </c>
      <c r="Y225" s="1" t="s">
        <v>4860</v>
      </c>
      <c r="Z225" s="5">
        <v>17</v>
      </c>
      <c r="AA225" s="1" t="s">
        <v>3403</v>
      </c>
      <c r="AB225" s="1"/>
      <c r="AC225" s="1"/>
      <c r="AD225" s="1"/>
      <c r="AE225" s="1" t="s">
        <v>3803</v>
      </c>
      <c r="AF225" s="1" t="s">
        <v>9</v>
      </c>
      <c r="AG225" s="1" t="s">
        <v>9</v>
      </c>
      <c r="AH225" s="1"/>
      <c r="AI225" s="6">
        <v>44926</v>
      </c>
    </row>
    <row r="226" spans="1:35" x14ac:dyDescent="0.3">
      <c r="A226" s="1" t="s">
        <v>2225</v>
      </c>
      <c r="B226" s="2" t="str">
        <f>HYPERLINK("https://my.zakupki.prom.ua/remote/dispatcher/state_purchase_view/34694289")</f>
        <v>https://my.zakupki.prom.ua/remote/dispatcher/state_purchase_view/34694289</v>
      </c>
      <c r="C226" s="1" t="s">
        <v>2468</v>
      </c>
      <c r="D226" s="1" t="s">
        <v>474</v>
      </c>
      <c r="E226" s="4">
        <v>800</v>
      </c>
      <c r="F226" s="5">
        <v>200</v>
      </c>
      <c r="G226" s="1" t="s">
        <v>4901</v>
      </c>
      <c r="H226" s="1" t="s">
        <v>1007</v>
      </c>
      <c r="I226" s="1" t="s">
        <v>2509</v>
      </c>
      <c r="J226" s="5">
        <v>160000</v>
      </c>
      <c r="K226" s="1" t="s">
        <v>3394</v>
      </c>
      <c r="L226" s="5">
        <v>800</v>
      </c>
      <c r="M226" s="1" t="s">
        <v>2308</v>
      </c>
      <c r="N226" s="1" t="s">
        <v>3983</v>
      </c>
      <c r="O226" s="1" t="s">
        <v>2521</v>
      </c>
      <c r="P226" s="1" t="s">
        <v>3956</v>
      </c>
      <c r="Q226" s="1" t="s">
        <v>4831</v>
      </c>
      <c r="R226" s="1" t="s">
        <v>4617</v>
      </c>
      <c r="S226" s="1" t="s">
        <v>4937</v>
      </c>
      <c r="T226" s="6">
        <v>44593</v>
      </c>
      <c r="U226" s="6">
        <v>44599</v>
      </c>
      <c r="V226" s="7">
        <v>0.5</v>
      </c>
      <c r="W226" s="6">
        <v>44602</v>
      </c>
      <c r="X226" s="7">
        <v>0</v>
      </c>
      <c r="Y226" s="1" t="s">
        <v>4860</v>
      </c>
      <c r="Z226" s="5">
        <v>340</v>
      </c>
      <c r="AA226" s="1" t="s">
        <v>3403</v>
      </c>
      <c r="AB226" s="1"/>
      <c r="AC226" s="1"/>
      <c r="AD226" s="1"/>
      <c r="AE226" s="1" t="s">
        <v>3774</v>
      </c>
      <c r="AF226" s="1" t="s">
        <v>9</v>
      </c>
      <c r="AG226" s="4">
        <v>7</v>
      </c>
      <c r="AH226" s="1"/>
      <c r="AI226" s="6">
        <v>44926</v>
      </c>
    </row>
    <row r="227" spans="1:35" x14ac:dyDescent="0.3">
      <c r="A227" s="1" t="s">
        <v>1823</v>
      </c>
      <c r="B227" s="2" t="str">
        <f>HYPERLINK("https://my.zakupki.prom.ua/remote/dispatcher/state_purchase_view/34694291")</f>
        <v>https://my.zakupki.prom.ua/remote/dispatcher/state_purchase_view/34694291</v>
      </c>
      <c r="C227" s="1" t="s">
        <v>3500</v>
      </c>
      <c r="D227" s="1" t="s">
        <v>632</v>
      </c>
      <c r="E227" s="1" t="s">
        <v>4903</v>
      </c>
      <c r="F227" s="1" t="s">
        <v>4903</v>
      </c>
      <c r="G227" s="1" t="s">
        <v>4903</v>
      </c>
      <c r="H227" s="1" t="s">
        <v>838</v>
      </c>
      <c r="I227" s="1" t="s">
        <v>3188</v>
      </c>
      <c r="J227" s="5">
        <v>60000</v>
      </c>
      <c r="K227" s="1" t="s">
        <v>3394</v>
      </c>
      <c r="L227" s="5">
        <v>300</v>
      </c>
      <c r="M227" s="1" t="s">
        <v>2308</v>
      </c>
      <c r="N227" s="1" t="s">
        <v>3983</v>
      </c>
      <c r="O227" s="1" t="s">
        <v>2521</v>
      </c>
      <c r="P227" s="1" t="s">
        <v>3956</v>
      </c>
      <c r="Q227" s="1" t="s">
        <v>2756</v>
      </c>
      <c r="R227" s="1" t="s">
        <v>4081</v>
      </c>
      <c r="S227" s="1" t="s">
        <v>4937</v>
      </c>
      <c r="T227" s="6">
        <v>44593</v>
      </c>
      <c r="U227" s="6">
        <v>44599</v>
      </c>
      <c r="V227" s="7">
        <v>0</v>
      </c>
      <c r="W227" s="6">
        <v>44601</v>
      </c>
      <c r="X227" s="7">
        <v>0</v>
      </c>
      <c r="Y227" s="1" t="s">
        <v>4860</v>
      </c>
      <c r="Z227" s="5">
        <v>340</v>
      </c>
      <c r="AA227" s="1" t="s">
        <v>3403</v>
      </c>
      <c r="AB227" s="1"/>
      <c r="AC227" s="1"/>
      <c r="AD227" s="1"/>
      <c r="AE227" s="1" t="s">
        <v>3788</v>
      </c>
      <c r="AF227" s="1" t="s">
        <v>9</v>
      </c>
      <c r="AG227" s="4">
        <v>2</v>
      </c>
      <c r="AH227" s="1"/>
      <c r="AI227" s="6">
        <v>44926</v>
      </c>
    </row>
    <row r="228" spans="1:35" x14ac:dyDescent="0.3">
      <c r="A228" s="1" t="s">
        <v>1462</v>
      </c>
      <c r="B228" s="2" t="str">
        <f>HYPERLINK("https://my.zakupki.prom.ua/remote/dispatcher/state_purchase_view/34694274")</f>
        <v>https://my.zakupki.prom.ua/remote/dispatcher/state_purchase_view/34694274</v>
      </c>
      <c r="C228" s="1" t="s">
        <v>3441</v>
      </c>
      <c r="D228" s="1" t="s">
        <v>455</v>
      </c>
      <c r="E228" s="1" t="s">
        <v>4903</v>
      </c>
      <c r="F228" s="1" t="s">
        <v>4903</v>
      </c>
      <c r="G228" s="1" t="s">
        <v>4903</v>
      </c>
      <c r="H228" s="1" t="s">
        <v>203</v>
      </c>
      <c r="I228" s="1" t="s">
        <v>3003</v>
      </c>
      <c r="J228" s="5">
        <v>85400</v>
      </c>
      <c r="K228" s="1" t="s">
        <v>3394</v>
      </c>
      <c r="L228" s="5">
        <v>854</v>
      </c>
      <c r="M228" s="1" t="s">
        <v>2308</v>
      </c>
      <c r="N228" s="1" t="s">
        <v>3983</v>
      </c>
      <c r="O228" s="1" t="s">
        <v>2521</v>
      </c>
      <c r="P228" s="1" t="s">
        <v>3956</v>
      </c>
      <c r="Q228" s="1" t="s">
        <v>2761</v>
      </c>
      <c r="R228" s="1" t="s">
        <v>4529</v>
      </c>
      <c r="S228" s="1" t="s">
        <v>4937</v>
      </c>
      <c r="T228" s="6">
        <v>44593</v>
      </c>
      <c r="U228" s="6">
        <v>44599</v>
      </c>
      <c r="V228" s="7">
        <v>4.1666666666666664E-2</v>
      </c>
      <c r="W228" s="6">
        <v>44602</v>
      </c>
      <c r="X228" s="7">
        <v>4.1666666666666664E-2</v>
      </c>
      <c r="Y228" s="1" t="s">
        <v>4860</v>
      </c>
      <c r="Z228" s="5">
        <v>340</v>
      </c>
      <c r="AA228" s="1" t="s">
        <v>3403</v>
      </c>
      <c r="AB228" s="1"/>
      <c r="AC228" s="1"/>
      <c r="AD228" s="1"/>
      <c r="AE228" s="1" t="s">
        <v>3788</v>
      </c>
      <c r="AF228" s="1" t="s">
        <v>9</v>
      </c>
      <c r="AG228" s="4">
        <v>24</v>
      </c>
      <c r="AH228" s="1"/>
      <c r="AI228" s="6">
        <v>44926</v>
      </c>
    </row>
    <row r="229" spans="1:35" x14ac:dyDescent="0.3">
      <c r="A229" s="1" t="s">
        <v>1499</v>
      </c>
      <c r="B229" s="2" t="str">
        <f>HYPERLINK("https://my.zakupki.prom.ua/remote/dispatcher/state_purchase_view/34694271")</f>
        <v>https://my.zakupki.prom.ua/remote/dispatcher/state_purchase_view/34694271</v>
      </c>
      <c r="C229" s="1" t="s">
        <v>1167</v>
      </c>
      <c r="D229" s="1" t="s">
        <v>1168</v>
      </c>
      <c r="E229" s="1" t="s">
        <v>4903</v>
      </c>
      <c r="F229" s="1" t="s">
        <v>4903</v>
      </c>
      <c r="G229" s="1" t="s">
        <v>4903</v>
      </c>
      <c r="H229" s="1" t="s">
        <v>905</v>
      </c>
      <c r="I229" s="1" t="s">
        <v>3088</v>
      </c>
      <c r="J229" s="5">
        <v>197500</v>
      </c>
      <c r="K229" s="1" t="s">
        <v>3394</v>
      </c>
      <c r="L229" s="5">
        <v>987.5</v>
      </c>
      <c r="M229" s="1" t="s">
        <v>2308</v>
      </c>
      <c r="N229" s="1" t="s">
        <v>3983</v>
      </c>
      <c r="O229" s="1" t="s">
        <v>2521</v>
      </c>
      <c r="P229" s="1" t="s">
        <v>3956</v>
      </c>
      <c r="Q229" s="1" t="s">
        <v>2761</v>
      </c>
      <c r="R229" s="1" t="s">
        <v>4054</v>
      </c>
      <c r="S229" s="1" t="s">
        <v>4937</v>
      </c>
      <c r="T229" s="6">
        <v>44593</v>
      </c>
      <c r="U229" s="6">
        <v>44599</v>
      </c>
      <c r="V229" s="7">
        <v>0.591400462962963</v>
      </c>
      <c r="W229" s="6">
        <v>44602</v>
      </c>
      <c r="X229" s="7">
        <v>0.591400462962963</v>
      </c>
      <c r="Y229" s="1" t="s">
        <v>4860</v>
      </c>
      <c r="Z229" s="5">
        <v>340</v>
      </c>
      <c r="AA229" s="1" t="s">
        <v>3403</v>
      </c>
      <c r="AB229" s="1"/>
      <c r="AC229" s="1"/>
      <c r="AD229" s="1"/>
      <c r="AE229" s="1" t="s">
        <v>3733</v>
      </c>
      <c r="AF229" s="1" t="s">
        <v>9</v>
      </c>
      <c r="AG229" s="4">
        <v>6</v>
      </c>
      <c r="AH229" s="1"/>
      <c r="AI229" s="6">
        <v>44926</v>
      </c>
    </row>
    <row r="230" spans="1:35" x14ac:dyDescent="0.3">
      <c r="A230" s="1" t="s">
        <v>1804</v>
      </c>
      <c r="B230" s="2" t="str">
        <f>HYPERLINK("https://my.zakupki.prom.ua/remote/dispatcher/state_purchase_view/34694238")</f>
        <v>https://my.zakupki.prom.ua/remote/dispatcher/state_purchase_view/34694238</v>
      </c>
      <c r="C230" s="1" t="s">
        <v>3513</v>
      </c>
      <c r="D230" s="1" t="s">
        <v>1295</v>
      </c>
      <c r="E230" s="4">
        <v>6000</v>
      </c>
      <c r="F230" s="5">
        <v>473.33</v>
      </c>
      <c r="G230" s="1" t="s">
        <v>4940</v>
      </c>
      <c r="H230" s="1" t="s">
        <v>677</v>
      </c>
      <c r="I230" s="1" t="s">
        <v>3037</v>
      </c>
      <c r="J230" s="5">
        <v>2840000</v>
      </c>
      <c r="K230" s="1" t="s">
        <v>3394</v>
      </c>
      <c r="L230" s="5">
        <v>28400</v>
      </c>
      <c r="M230" s="1" t="s">
        <v>2308</v>
      </c>
      <c r="N230" s="1" t="s">
        <v>3983</v>
      </c>
      <c r="O230" s="1" t="s">
        <v>2521</v>
      </c>
      <c r="P230" s="1" t="s">
        <v>2515</v>
      </c>
      <c r="Q230" s="1" t="s">
        <v>3035</v>
      </c>
      <c r="R230" s="1" t="s">
        <v>4081</v>
      </c>
      <c r="S230" s="1" t="s">
        <v>4971</v>
      </c>
      <c r="T230" s="6">
        <v>44593</v>
      </c>
      <c r="U230" s="6">
        <v>44593</v>
      </c>
      <c r="V230" s="7">
        <v>0.58487274026620373</v>
      </c>
      <c r="W230" s="6">
        <v>44609</v>
      </c>
      <c r="X230" s="7">
        <v>0</v>
      </c>
      <c r="Y230" s="8">
        <v>44609.46303240741</v>
      </c>
      <c r="Z230" s="5">
        <v>1700</v>
      </c>
      <c r="AA230" s="1" t="s">
        <v>3403</v>
      </c>
      <c r="AB230" s="1"/>
      <c r="AC230" s="1"/>
      <c r="AD230" s="1"/>
      <c r="AE230" s="1" t="s">
        <v>3727</v>
      </c>
      <c r="AF230" s="1" t="s">
        <v>9</v>
      </c>
      <c r="AG230" s="4">
        <v>4</v>
      </c>
      <c r="AH230" s="6">
        <v>44625</v>
      </c>
      <c r="AI230" s="6">
        <v>44910</v>
      </c>
    </row>
    <row r="231" spans="1:35" x14ac:dyDescent="0.3">
      <c r="A231" s="1" t="s">
        <v>2224</v>
      </c>
      <c r="B231" s="2" t="str">
        <f>HYPERLINK("https://my.zakupki.prom.ua/remote/dispatcher/state_purchase_view/34694220")</f>
        <v>https://my.zakupki.prom.ua/remote/dispatcher/state_purchase_view/34694220</v>
      </c>
      <c r="C231" s="1" t="s">
        <v>3594</v>
      </c>
      <c r="D231" s="1" t="s">
        <v>1203</v>
      </c>
      <c r="E231" s="4">
        <v>1</v>
      </c>
      <c r="F231" s="5">
        <v>80000</v>
      </c>
      <c r="G231" s="1" t="s">
        <v>4940</v>
      </c>
      <c r="H231" s="1" t="s">
        <v>858</v>
      </c>
      <c r="I231" s="1" t="s">
        <v>2388</v>
      </c>
      <c r="J231" s="5">
        <v>80000</v>
      </c>
      <c r="K231" s="1" t="s">
        <v>3394</v>
      </c>
      <c r="L231" s="5">
        <v>800</v>
      </c>
      <c r="M231" s="1" t="s">
        <v>2308</v>
      </c>
      <c r="N231" s="1" t="s">
        <v>3983</v>
      </c>
      <c r="O231" s="1" t="s">
        <v>2521</v>
      </c>
      <c r="P231" s="1" t="s">
        <v>3956</v>
      </c>
      <c r="Q231" s="1" t="s">
        <v>4798</v>
      </c>
      <c r="R231" s="1" t="s">
        <v>4550</v>
      </c>
      <c r="S231" s="1" t="s">
        <v>4937</v>
      </c>
      <c r="T231" s="6">
        <v>44593</v>
      </c>
      <c r="U231" s="6">
        <v>44599</v>
      </c>
      <c r="V231" s="7">
        <v>0.58333333333333337</v>
      </c>
      <c r="W231" s="6">
        <v>44602</v>
      </c>
      <c r="X231" s="7">
        <v>0</v>
      </c>
      <c r="Y231" s="1" t="s">
        <v>4860</v>
      </c>
      <c r="Z231" s="5">
        <v>340</v>
      </c>
      <c r="AA231" s="1" t="s">
        <v>3403</v>
      </c>
      <c r="AB231" s="1"/>
      <c r="AC231" s="1"/>
      <c r="AD231" s="1"/>
      <c r="AE231" s="1" t="s">
        <v>3727</v>
      </c>
      <c r="AF231" s="1" t="s">
        <v>9</v>
      </c>
      <c r="AG231" s="1" t="s">
        <v>9</v>
      </c>
      <c r="AH231" s="1"/>
      <c r="AI231" s="6">
        <v>44926</v>
      </c>
    </row>
    <row r="232" spans="1:35" x14ac:dyDescent="0.3">
      <c r="A232" s="1" t="s">
        <v>1809</v>
      </c>
      <c r="B232" s="2" t="str">
        <f>HYPERLINK("https://my.zakupki.prom.ua/remote/dispatcher/state_purchase_view/34694214")</f>
        <v>https://my.zakupki.prom.ua/remote/dispatcher/state_purchase_view/34694214</v>
      </c>
      <c r="C232" s="1" t="s">
        <v>3608</v>
      </c>
      <c r="D232" s="1" t="s">
        <v>1282</v>
      </c>
      <c r="E232" s="4">
        <v>1</v>
      </c>
      <c r="F232" s="5">
        <v>823.75</v>
      </c>
      <c r="G232" s="1" t="s">
        <v>4940</v>
      </c>
      <c r="H232" s="1" t="s">
        <v>1078</v>
      </c>
      <c r="I232" s="1" t="s">
        <v>2542</v>
      </c>
      <c r="J232" s="5">
        <v>823.75</v>
      </c>
      <c r="K232" s="1" t="s">
        <v>3394</v>
      </c>
      <c r="L232" s="5">
        <v>4.12</v>
      </c>
      <c r="M232" s="1" t="s">
        <v>2308</v>
      </c>
      <c r="N232" s="1" t="s">
        <v>3983</v>
      </c>
      <c r="O232" s="1" t="s">
        <v>2521</v>
      </c>
      <c r="P232" s="1" t="s">
        <v>2515</v>
      </c>
      <c r="Q232" s="1" t="s">
        <v>3264</v>
      </c>
      <c r="R232" s="1" t="s">
        <v>4564</v>
      </c>
      <c r="S232" s="1" t="s">
        <v>4971</v>
      </c>
      <c r="T232" s="6">
        <v>44593</v>
      </c>
      <c r="U232" s="6">
        <v>44593</v>
      </c>
      <c r="V232" s="7">
        <v>0.58626698526620369</v>
      </c>
      <c r="W232" s="6">
        <v>44609</v>
      </c>
      <c r="X232" s="7">
        <v>0.41666666666666669</v>
      </c>
      <c r="Y232" s="8">
        <v>44610.480057870373</v>
      </c>
      <c r="Z232" s="5">
        <v>17</v>
      </c>
      <c r="AA232" s="1" t="s">
        <v>3403</v>
      </c>
      <c r="AB232" s="1"/>
      <c r="AC232" s="1"/>
      <c r="AD232" s="1"/>
      <c r="AE232" s="1" t="s">
        <v>3743</v>
      </c>
      <c r="AF232" s="1" t="s">
        <v>9</v>
      </c>
      <c r="AG232" s="4">
        <v>4</v>
      </c>
      <c r="AH232" s="1"/>
      <c r="AI232" s="6">
        <v>44926</v>
      </c>
    </row>
    <row r="233" spans="1:35" x14ac:dyDescent="0.3">
      <c r="A233" s="1" t="s">
        <v>2223</v>
      </c>
      <c r="B233" s="2" t="str">
        <f>HYPERLINK("https://my.zakupki.prom.ua/remote/dispatcher/state_purchase_view/34684960")</f>
        <v>https://my.zakupki.prom.ua/remote/dispatcher/state_purchase_view/34684960</v>
      </c>
      <c r="C233" s="1" t="s">
        <v>2778</v>
      </c>
      <c r="D233" s="1" t="s">
        <v>387</v>
      </c>
      <c r="E233" s="4">
        <v>50000</v>
      </c>
      <c r="F233" s="5">
        <v>5.49</v>
      </c>
      <c r="G233" s="1" t="s">
        <v>3235</v>
      </c>
      <c r="H233" s="1" t="s">
        <v>1089</v>
      </c>
      <c r="I233" s="1" t="s">
        <v>4028</v>
      </c>
      <c r="J233" s="5">
        <v>274574.5</v>
      </c>
      <c r="K233" s="1" t="s">
        <v>3394</v>
      </c>
      <c r="L233" s="5">
        <v>1372.87</v>
      </c>
      <c r="M233" s="1" t="s">
        <v>2308</v>
      </c>
      <c r="N233" s="1" t="s">
        <v>3983</v>
      </c>
      <c r="O233" s="1" t="s">
        <v>2521</v>
      </c>
      <c r="P233" s="1" t="s">
        <v>2515</v>
      </c>
      <c r="Q233" s="1" t="s">
        <v>2528</v>
      </c>
      <c r="R233" s="1" t="s">
        <v>4081</v>
      </c>
      <c r="S233" s="1" t="s">
        <v>4971</v>
      </c>
      <c r="T233" s="6">
        <v>44593</v>
      </c>
      <c r="U233" s="6">
        <v>44593</v>
      </c>
      <c r="V233" s="7">
        <v>0.59171598944444437</v>
      </c>
      <c r="W233" s="6">
        <v>44609</v>
      </c>
      <c r="X233" s="7">
        <v>0.49583333333333335</v>
      </c>
      <c r="Y233" s="8">
        <v>44610.609837962962</v>
      </c>
      <c r="Z233" s="5">
        <v>510</v>
      </c>
      <c r="AA233" s="1" t="s">
        <v>3403</v>
      </c>
      <c r="AB233" s="1"/>
      <c r="AC233" s="1"/>
      <c r="AD233" s="1"/>
      <c r="AE233" s="1" t="s">
        <v>3779</v>
      </c>
      <c r="AF233" s="1" t="s">
        <v>9</v>
      </c>
      <c r="AG233" s="1" t="s">
        <v>9</v>
      </c>
      <c r="AH233" s="1"/>
      <c r="AI233" s="6">
        <v>44926</v>
      </c>
    </row>
    <row r="234" spans="1:35" x14ac:dyDescent="0.3">
      <c r="A234" s="1" t="s">
        <v>1815</v>
      </c>
      <c r="B234" s="2" t="str">
        <f>HYPERLINK("https://my.zakupki.prom.ua/remote/dispatcher/state_purchase_view/34694212")</f>
        <v>https://my.zakupki.prom.ua/remote/dispatcher/state_purchase_view/34694212</v>
      </c>
      <c r="C234" s="1" t="s">
        <v>4774</v>
      </c>
      <c r="D234" s="1" t="s">
        <v>693</v>
      </c>
      <c r="E234" s="1" t="s">
        <v>4903</v>
      </c>
      <c r="F234" s="1" t="s">
        <v>4903</v>
      </c>
      <c r="G234" s="1" t="s">
        <v>4903</v>
      </c>
      <c r="H234" s="1" t="s">
        <v>649</v>
      </c>
      <c r="I234" s="1" t="s">
        <v>3154</v>
      </c>
      <c r="J234" s="5">
        <v>118020</v>
      </c>
      <c r="K234" s="1" t="s">
        <v>3394</v>
      </c>
      <c r="L234" s="5">
        <v>1180.2</v>
      </c>
      <c r="M234" s="1" t="s">
        <v>2308</v>
      </c>
      <c r="N234" s="1" t="s">
        <v>3983</v>
      </c>
      <c r="O234" s="1" t="s">
        <v>2521</v>
      </c>
      <c r="P234" s="1" t="s">
        <v>3956</v>
      </c>
      <c r="Q234" s="1" t="s">
        <v>3035</v>
      </c>
      <c r="R234" s="1" t="s">
        <v>4580</v>
      </c>
      <c r="S234" s="1" t="s">
        <v>4937</v>
      </c>
      <c r="T234" s="6">
        <v>44593</v>
      </c>
      <c r="U234" s="6">
        <v>44599</v>
      </c>
      <c r="V234" s="7">
        <v>0.625</v>
      </c>
      <c r="W234" s="6">
        <v>44602</v>
      </c>
      <c r="X234" s="7">
        <v>0.625</v>
      </c>
      <c r="Y234" s="1" t="s">
        <v>4860</v>
      </c>
      <c r="Z234" s="5">
        <v>340</v>
      </c>
      <c r="AA234" s="1" t="s">
        <v>3403</v>
      </c>
      <c r="AB234" s="1"/>
      <c r="AC234" s="1"/>
      <c r="AD234" s="1"/>
      <c r="AE234" s="1" t="s">
        <v>3788</v>
      </c>
      <c r="AF234" s="1" t="s">
        <v>9</v>
      </c>
      <c r="AG234" s="4">
        <v>7</v>
      </c>
      <c r="AH234" s="1"/>
      <c r="AI234" s="6">
        <v>44926</v>
      </c>
    </row>
    <row r="235" spans="1:35" x14ac:dyDescent="0.3">
      <c r="A235" s="1" t="s">
        <v>2222</v>
      </c>
      <c r="B235" s="2" t="str">
        <f>HYPERLINK("https://my.zakupki.prom.ua/remote/dispatcher/state_purchase_view/34694181")</f>
        <v>https://my.zakupki.prom.ua/remote/dispatcher/state_purchase_view/34694181</v>
      </c>
      <c r="C235" s="1" t="s">
        <v>3589</v>
      </c>
      <c r="D235" s="1" t="s">
        <v>1161</v>
      </c>
      <c r="E235" s="1" t="s">
        <v>4903</v>
      </c>
      <c r="F235" s="1" t="s">
        <v>4903</v>
      </c>
      <c r="G235" s="1" t="s">
        <v>4903</v>
      </c>
      <c r="H235" s="1" t="s">
        <v>54</v>
      </c>
      <c r="I235" s="1" t="s">
        <v>2955</v>
      </c>
      <c r="J235" s="5">
        <v>199600</v>
      </c>
      <c r="K235" s="1" t="s">
        <v>3394</v>
      </c>
      <c r="L235" s="5">
        <v>1996</v>
      </c>
      <c r="M235" s="1" t="s">
        <v>2308</v>
      </c>
      <c r="N235" s="1" t="s">
        <v>3983</v>
      </c>
      <c r="O235" s="1" t="s">
        <v>2521</v>
      </c>
      <c r="P235" s="1" t="s">
        <v>3956</v>
      </c>
      <c r="Q235" s="1" t="s">
        <v>2756</v>
      </c>
      <c r="R235" s="1" t="s">
        <v>4636</v>
      </c>
      <c r="S235" s="1" t="s">
        <v>4937</v>
      </c>
      <c r="T235" s="6">
        <v>44593</v>
      </c>
      <c r="U235" s="6">
        <v>44599</v>
      </c>
      <c r="V235" s="7">
        <v>0.5</v>
      </c>
      <c r="W235" s="6">
        <v>44602</v>
      </c>
      <c r="X235" s="7">
        <v>0.5</v>
      </c>
      <c r="Y235" s="1" t="s">
        <v>4860</v>
      </c>
      <c r="Z235" s="5">
        <v>340</v>
      </c>
      <c r="AA235" s="1" t="s">
        <v>3403</v>
      </c>
      <c r="AB235" s="1"/>
      <c r="AC235" s="1"/>
      <c r="AD235" s="1"/>
      <c r="AE235" s="1" t="s">
        <v>3750</v>
      </c>
      <c r="AF235" s="1" t="s">
        <v>9</v>
      </c>
      <c r="AG235" s="4">
        <v>6</v>
      </c>
      <c r="AH235" s="1"/>
      <c r="AI235" s="6">
        <v>44926</v>
      </c>
    </row>
    <row r="236" spans="1:35" x14ac:dyDescent="0.3">
      <c r="A236" s="1" t="s">
        <v>2221</v>
      </c>
      <c r="B236" s="2" t="str">
        <f>HYPERLINK("https://my.zakupki.prom.ua/remote/dispatcher/state_purchase_view/34694179")</f>
        <v>https://my.zakupki.prom.ua/remote/dispatcher/state_purchase_view/34694179</v>
      </c>
      <c r="C236" s="1" t="s">
        <v>1305</v>
      </c>
      <c r="D236" s="1" t="s">
        <v>801</v>
      </c>
      <c r="E236" s="1" t="s">
        <v>4903</v>
      </c>
      <c r="F236" s="1" t="s">
        <v>4903</v>
      </c>
      <c r="G236" s="1" t="s">
        <v>4903</v>
      </c>
      <c r="H236" s="1" t="s">
        <v>55</v>
      </c>
      <c r="I236" s="1" t="s">
        <v>3173</v>
      </c>
      <c r="J236" s="5">
        <v>685500</v>
      </c>
      <c r="K236" s="1" t="s">
        <v>3394</v>
      </c>
      <c r="L236" s="5">
        <v>3428</v>
      </c>
      <c r="M236" s="1" t="s">
        <v>2308</v>
      </c>
      <c r="N236" s="1" t="s">
        <v>3983</v>
      </c>
      <c r="O236" s="1" t="s">
        <v>2521</v>
      </c>
      <c r="P236" s="1" t="s">
        <v>2515</v>
      </c>
      <c r="Q236" s="1" t="s">
        <v>2756</v>
      </c>
      <c r="R236" s="1" t="s">
        <v>4658</v>
      </c>
      <c r="S236" s="1" t="s">
        <v>4971</v>
      </c>
      <c r="T236" s="6">
        <v>44593</v>
      </c>
      <c r="U236" s="6">
        <v>44593</v>
      </c>
      <c r="V236" s="7">
        <v>0.59141161885416671</v>
      </c>
      <c r="W236" s="6">
        <v>44609</v>
      </c>
      <c r="X236" s="7">
        <v>0</v>
      </c>
      <c r="Y236" s="8">
        <v>44609.595636574071</v>
      </c>
      <c r="Z236" s="5">
        <v>510</v>
      </c>
      <c r="AA236" s="1" t="s">
        <v>3403</v>
      </c>
      <c r="AB236" s="1"/>
      <c r="AC236" s="1"/>
      <c r="AD236" s="1"/>
      <c r="AE236" s="1" t="s">
        <v>3788</v>
      </c>
      <c r="AF236" s="1" t="s">
        <v>9</v>
      </c>
      <c r="AG236" s="4">
        <v>4</v>
      </c>
      <c r="AH236" s="1"/>
      <c r="AI236" s="6">
        <v>44926</v>
      </c>
    </row>
    <row r="237" spans="1:35" x14ac:dyDescent="0.3">
      <c r="A237" s="1" t="s">
        <v>2220</v>
      </c>
      <c r="B237" s="2" t="str">
        <f>HYPERLINK("https://my.zakupki.prom.ua/remote/dispatcher/state_purchase_view/34694162")</f>
        <v>https://my.zakupki.prom.ua/remote/dispatcher/state_purchase_view/34694162</v>
      </c>
      <c r="C237" s="1" t="s">
        <v>3577</v>
      </c>
      <c r="D237" s="1" t="s">
        <v>1212</v>
      </c>
      <c r="E237" s="4">
        <v>19200</v>
      </c>
      <c r="F237" s="5">
        <v>5</v>
      </c>
      <c r="G237" s="1" t="s">
        <v>4978</v>
      </c>
      <c r="H237" s="1" t="s">
        <v>287</v>
      </c>
      <c r="I237" s="1" t="s">
        <v>2484</v>
      </c>
      <c r="J237" s="5">
        <v>96000</v>
      </c>
      <c r="K237" s="1" t="s">
        <v>3394</v>
      </c>
      <c r="L237" s="5">
        <v>480</v>
      </c>
      <c r="M237" s="1" t="s">
        <v>2308</v>
      </c>
      <c r="N237" s="1" t="s">
        <v>3983</v>
      </c>
      <c r="O237" s="1" t="s">
        <v>2521</v>
      </c>
      <c r="P237" s="1" t="s">
        <v>3956</v>
      </c>
      <c r="Q237" s="1" t="s">
        <v>4794</v>
      </c>
      <c r="R237" s="1" t="s">
        <v>4216</v>
      </c>
      <c r="S237" s="1" t="s">
        <v>4937</v>
      </c>
      <c r="T237" s="6">
        <v>44593</v>
      </c>
      <c r="U237" s="6">
        <v>44599</v>
      </c>
      <c r="V237" s="7">
        <v>0</v>
      </c>
      <c r="W237" s="6">
        <v>44602</v>
      </c>
      <c r="X237" s="7">
        <v>0</v>
      </c>
      <c r="Y237" s="1" t="s">
        <v>4860</v>
      </c>
      <c r="Z237" s="5">
        <v>340</v>
      </c>
      <c r="AA237" s="1" t="s">
        <v>3403</v>
      </c>
      <c r="AB237" s="1"/>
      <c r="AC237" s="1"/>
      <c r="AD237" s="1"/>
      <c r="AE237" s="1" t="s">
        <v>3743</v>
      </c>
      <c r="AF237" s="1" t="s">
        <v>9</v>
      </c>
      <c r="AG237" s="4">
        <v>8</v>
      </c>
      <c r="AH237" s="1"/>
      <c r="AI237" s="6">
        <v>44926</v>
      </c>
    </row>
    <row r="238" spans="1:35" x14ac:dyDescent="0.3">
      <c r="A238" s="1" t="s">
        <v>2219</v>
      </c>
      <c r="B238" s="2" t="str">
        <f>HYPERLINK("https://my.zakupki.prom.ua/remote/dispatcher/state_purchase_view/34694144")</f>
        <v>https://my.zakupki.prom.ua/remote/dispatcher/state_purchase_view/34694144</v>
      </c>
      <c r="C238" s="1" t="s">
        <v>3652</v>
      </c>
      <c r="D238" s="1" t="s">
        <v>1058</v>
      </c>
      <c r="E238" s="4">
        <v>1</v>
      </c>
      <c r="F238" s="5">
        <v>1350000</v>
      </c>
      <c r="G238" s="1" t="s">
        <v>4991</v>
      </c>
      <c r="H238" s="1" t="s">
        <v>747</v>
      </c>
      <c r="I238" s="1" t="s">
        <v>3175</v>
      </c>
      <c r="J238" s="5">
        <v>1350000</v>
      </c>
      <c r="K238" s="1" t="s">
        <v>3394</v>
      </c>
      <c r="L238" s="5">
        <v>6750</v>
      </c>
      <c r="M238" s="1" t="s">
        <v>2308</v>
      </c>
      <c r="N238" s="1" t="s">
        <v>3983</v>
      </c>
      <c r="O238" s="1" t="s">
        <v>2521</v>
      </c>
      <c r="P238" s="1" t="s">
        <v>2515</v>
      </c>
      <c r="Q238" s="1" t="s">
        <v>3504</v>
      </c>
      <c r="R238" s="1" t="s">
        <v>4652</v>
      </c>
      <c r="S238" s="1" t="s">
        <v>4971</v>
      </c>
      <c r="T238" s="6">
        <v>44593</v>
      </c>
      <c r="U238" s="6">
        <v>44593</v>
      </c>
      <c r="V238" s="7">
        <v>0.59085050737268519</v>
      </c>
      <c r="W238" s="6">
        <v>44609</v>
      </c>
      <c r="X238" s="7">
        <v>0.58819444444444446</v>
      </c>
      <c r="Y238" s="8">
        <v>44610.595381944448</v>
      </c>
      <c r="Z238" s="5">
        <v>1700</v>
      </c>
      <c r="AA238" s="1" t="s">
        <v>3403</v>
      </c>
      <c r="AB238" s="1"/>
      <c r="AC238" s="1"/>
      <c r="AD238" s="1"/>
      <c r="AE238" s="1" t="s">
        <v>3787</v>
      </c>
      <c r="AF238" s="1" t="s">
        <v>9</v>
      </c>
      <c r="AG238" s="4">
        <v>2</v>
      </c>
      <c r="AH238" s="1"/>
      <c r="AI238" s="6">
        <v>44681</v>
      </c>
    </row>
    <row r="239" spans="1:35" x14ac:dyDescent="0.3">
      <c r="A239" s="1" t="s">
        <v>2218</v>
      </c>
      <c r="B239" s="2" t="str">
        <f>HYPERLINK("https://my.zakupki.prom.ua/remote/dispatcher/state_purchase_view/34693569")</f>
        <v>https://my.zakupki.prom.ua/remote/dispatcher/state_purchase_view/34693569</v>
      </c>
      <c r="C239" s="1" t="s">
        <v>1</v>
      </c>
      <c r="D239" s="1" t="s">
        <v>1282</v>
      </c>
      <c r="E239" s="4">
        <v>322</v>
      </c>
      <c r="F239" s="5">
        <v>222.77</v>
      </c>
      <c r="G239" s="1" t="s">
        <v>4921</v>
      </c>
      <c r="H239" s="1" t="s">
        <v>1123</v>
      </c>
      <c r="I239" s="1" t="s">
        <v>2507</v>
      </c>
      <c r="J239" s="5">
        <v>71732</v>
      </c>
      <c r="K239" s="1" t="s">
        <v>3394</v>
      </c>
      <c r="L239" s="5">
        <v>358.66</v>
      </c>
      <c r="M239" s="1" t="s">
        <v>2308</v>
      </c>
      <c r="N239" s="1" t="s">
        <v>3983</v>
      </c>
      <c r="O239" s="1" t="s">
        <v>2521</v>
      </c>
      <c r="P239" s="1" t="s">
        <v>3956</v>
      </c>
      <c r="Q239" s="1" t="s">
        <v>2808</v>
      </c>
      <c r="R239" s="1" t="s">
        <v>4081</v>
      </c>
      <c r="S239" s="1" t="s">
        <v>4937</v>
      </c>
      <c r="T239" s="6">
        <v>44593</v>
      </c>
      <c r="U239" s="6">
        <v>44599</v>
      </c>
      <c r="V239" s="7">
        <v>0</v>
      </c>
      <c r="W239" s="6">
        <v>44602</v>
      </c>
      <c r="X239" s="7">
        <v>0</v>
      </c>
      <c r="Y239" s="1" t="s">
        <v>4860</v>
      </c>
      <c r="Z239" s="5">
        <v>340</v>
      </c>
      <c r="AA239" s="1" t="s">
        <v>3403</v>
      </c>
      <c r="AB239" s="1"/>
      <c r="AC239" s="1"/>
      <c r="AD239" s="1"/>
      <c r="AE239" s="1" t="s">
        <v>3756</v>
      </c>
      <c r="AF239" s="1" t="s">
        <v>9</v>
      </c>
      <c r="AG239" s="1" t="s">
        <v>9</v>
      </c>
      <c r="AH239" s="1"/>
      <c r="AI239" s="6">
        <v>44926</v>
      </c>
    </row>
    <row r="240" spans="1:35" x14ac:dyDescent="0.3">
      <c r="A240" s="1" t="s">
        <v>2217</v>
      </c>
      <c r="B240" s="2" t="str">
        <f>HYPERLINK("https://my.zakupki.prom.ua/remote/dispatcher/state_purchase_view/34693845")</f>
        <v>https://my.zakupki.prom.ua/remote/dispatcher/state_purchase_view/34693845</v>
      </c>
      <c r="C240" s="1" t="s">
        <v>3054</v>
      </c>
      <c r="D240" s="1" t="s">
        <v>1229</v>
      </c>
      <c r="E240" s="4">
        <v>1</v>
      </c>
      <c r="F240" s="5">
        <v>997920</v>
      </c>
      <c r="G240" s="1" t="s">
        <v>4940</v>
      </c>
      <c r="H240" s="1" t="s">
        <v>237</v>
      </c>
      <c r="I240" s="1" t="s">
        <v>2980</v>
      </c>
      <c r="J240" s="5">
        <v>997920</v>
      </c>
      <c r="K240" s="1" t="s">
        <v>3394</v>
      </c>
      <c r="L240" s="5">
        <v>4989.6000000000004</v>
      </c>
      <c r="M240" s="1" t="s">
        <v>2308</v>
      </c>
      <c r="N240" s="1" t="s">
        <v>3983</v>
      </c>
      <c r="O240" s="1" t="s">
        <v>2521</v>
      </c>
      <c r="P240" s="1" t="s">
        <v>3956</v>
      </c>
      <c r="Q240" s="1" t="s">
        <v>4805</v>
      </c>
      <c r="R240" s="1" t="s">
        <v>4584</v>
      </c>
      <c r="S240" s="1" t="s">
        <v>4937</v>
      </c>
      <c r="T240" s="6">
        <v>44593</v>
      </c>
      <c r="U240" s="6">
        <v>44599</v>
      </c>
      <c r="V240" s="7">
        <v>0.41666666666666669</v>
      </c>
      <c r="W240" s="6">
        <v>44602</v>
      </c>
      <c r="X240" s="7">
        <v>0.41666666666666669</v>
      </c>
      <c r="Y240" s="1" t="s">
        <v>4860</v>
      </c>
      <c r="Z240" s="5">
        <v>510</v>
      </c>
      <c r="AA240" s="1" t="s">
        <v>3403</v>
      </c>
      <c r="AB240" s="1"/>
      <c r="AC240" s="1"/>
      <c r="AD240" s="1"/>
      <c r="AE240" s="1" t="s">
        <v>3727</v>
      </c>
      <c r="AF240" s="1" t="s">
        <v>9</v>
      </c>
      <c r="AG240" s="4">
        <v>17</v>
      </c>
      <c r="AH240" s="1"/>
      <c r="AI240" s="6">
        <v>44926</v>
      </c>
    </row>
    <row r="241" spans="1:35" x14ac:dyDescent="0.3">
      <c r="A241" s="1" t="s">
        <v>2216</v>
      </c>
      <c r="B241" s="2" t="str">
        <f>HYPERLINK("https://my.zakupki.prom.ua/remote/dispatcher/state_purchase_view/34682384")</f>
        <v>https://my.zakupki.prom.ua/remote/dispatcher/state_purchase_view/34682384</v>
      </c>
      <c r="C241" s="1" t="s">
        <v>3595</v>
      </c>
      <c r="D241" s="1" t="s">
        <v>1215</v>
      </c>
      <c r="E241" s="1" t="s">
        <v>4903</v>
      </c>
      <c r="F241" s="1" t="s">
        <v>4903</v>
      </c>
      <c r="G241" s="1" t="s">
        <v>4903</v>
      </c>
      <c r="H241" s="1" t="s">
        <v>94</v>
      </c>
      <c r="I241" s="1" t="s">
        <v>2916</v>
      </c>
      <c r="J241" s="5">
        <v>315580</v>
      </c>
      <c r="K241" s="1" t="s">
        <v>3394</v>
      </c>
      <c r="L241" s="5">
        <v>1577.9</v>
      </c>
      <c r="M241" s="1" t="s">
        <v>2308</v>
      </c>
      <c r="N241" s="1" t="s">
        <v>3983</v>
      </c>
      <c r="O241" s="1" t="s">
        <v>2521</v>
      </c>
      <c r="P241" s="1" t="s">
        <v>2515</v>
      </c>
      <c r="Q241" s="1" t="s">
        <v>3325</v>
      </c>
      <c r="R241" s="1" t="s">
        <v>4687</v>
      </c>
      <c r="S241" s="1" t="s">
        <v>4971</v>
      </c>
      <c r="T241" s="6">
        <v>44593</v>
      </c>
      <c r="U241" s="6">
        <v>44593</v>
      </c>
      <c r="V241" s="7">
        <v>0.58922654659722229</v>
      </c>
      <c r="W241" s="6">
        <v>44609</v>
      </c>
      <c r="X241" s="7">
        <v>0</v>
      </c>
      <c r="Y241" s="8">
        <v>44609.506238425929</v>
      </c>
      <c r="Z241" s="5">
        <v>510</v>
      </c>
      <c r="AA241" s="1" t="s">
        <v>3403</v>
      </c>
      <c r="AB241" s="1"/>
      <c r="AC241" s="1"/>
      <c r="AD241" s="1"/>
      <c r="AE241" s="1" t="s">
        <v>2363</v>
      </c>
      <c r="AF241" s="1" t="s">
        <v>9</v>
      </c>
      <c r="AG241" s="4">
        <v>3</v>
      </c>
      <c r="AH241" s="1"/>
      <c r="AI241" s="6">
        <v>44986</v>
      </c>
    </row>
    <row r="242" spans="1:35" x14ac:dyDescent="0.3">
      <c r="A242" s="1" t="s">
        <v>2215</v>
      </c>
      <c r="B242" s="2" t="str">
        <f>HYPERLINK("https://my.zakupki.prom.ua/remote/dispatcher/state_purchase_view/34693772")</f>
        <v>https://my.zakupki.prom.ua/remote/dispatcher/state_purchase_view/34693772</v>
      </c>
      <c r="C242" s="1" t="s">
        <v>3678</v>
      </c>
      <c r="D242" s="1" t="s">
        <v>728</v>
      </c>
      <c r="E242" s="1" t="s">
        <v>4903</v>
      </c>
      <c r="F242" s="1" t="s">
        <v>4903</v>
      </c>
      <c r="G242" s="1" t="s">
        <v>4903</v>
      </c>
      <c r="H242" s="1" t="s">
        <v>360</v>
      </c>
      <c r="I242" s="1" t="s">
        <v>2726</v>
      </c>
      <c r="J242" s="5">
        <v>3000</v>
      </c>
      <c r="K242" s="1" t="s">
        <v>3394</v>
      </c>
      <c r="L242" s="5">
        <v>15</v>
      </c>
      <c r="M242" s="1" t="s">
        <v>2308</v>
      </c>
      <c r="N242" s="1" t="s">
        <v>3983</v>
      </c>
      <c r="O242" s="1" t="s">
        <v>2521</v>
      </c>
      <c r="P242" s="1" t="s">
        <v>2762</v>
      </c>
      <c r="Q242" s="1" t="s">
        <v>3325</v>
      </c>
      <c r="R242" s="1" t="s">
        <v>4049</v>
      </c>
      <c r="S242" s="1" t="s">
        <v>4937</v>
      </c>
      <c r="T242" s="6">
        <v>44593</v>
      </c>
      <c r="U242" s="6">
        <v>44599</v>
      </c>
      <c r="V242" s="7">
        <v>0.58888888888888891</v>
      </c>
      <c r="W242" s="6">
        <v>44602</v>
      </c>
      <c r="X242" s="7">
        <v>0.58958333333333335</v>
      </c>
      <c r="Y242" s="1" t="s">
        <v>4860</v>
      </c>
      <c r="Z242" s="5">
        <v>17</v>
      </c>
      <c r="AA242" s="1" t="s">
        <v>3403</v>
      </c>
      <c r="AB242" s="1"/>
      <c r="AC242" s="1"/>
      <c r="AD242" s="1"/>
      <c r="AE242" s="1" t="s">
        <v>3798</v>
      </c>
      <c r="AF242" s="1" t="s">
        <v>9</v>
      </c>
      <c r="AG242" s="1" t="s">
        <v>9</v>
      </c>
      <c r="AH242" s="6">
        <v>44609</v>
      </c>
      <c r="AI242" s="6">
        <v>44615</v>
      </c>
    </row>
    <row r="243" spans="1:35" x14ac:dyDescent="0.3">
      <c r="A243" s="1" t="s">
        <v>1788</v>
      </c>
      <c r="B243" s="2" t="str">
        <f>HYPERLINK("https://my.zakupki.prom.ua/remote/dispatcher/state_purchase_view/34693743")</f>
        <v>https://my.zakupki.prom.ua/remote/dispatcher/state_purchase_view/34693743</v>
      </c>
      <c r="C243" s="1" t="s">
        <v>3839</v>
      </c>
      <c r="D243" s="1" t="s">
        <v>1137</v>
      </c>
      <c r="E243" s="4">
        <v>1</v>
      </c>
      <c r="F243" s="5">
        <v>6567815</v>
      </c>
      <c r="G243" s="1" t="s">
        <v>4896</v>
      </c>
      <c r="H243" s="1" t="s">
        <v>21</v>
      </c>
      <c r="I243" s="1" t="s">
        <v>3467</v>
      </c>
      <c r="J243" s="5">
        <v>6567815</v>
      </c>
      <c r="K243" s="1" t="s">
        <v>3394</v>
      </c>
      <c r="L243" s="5">
        <v>65678.149999999994</v>
      </c>
      <c r="M243" s="1" t="s">
        <v>2308</v>
      </c>
      <c r="N243" s="1" t="s">
        <v>3983</v>
      </c>
      <c r="O243" s="1" t="s">
        <v>746</v>
      </c>
      <c r="P243" s="1" t="s">
        <v>2515</v>
      </c>
      <c r="Q243" s="1" t="s">
        <v>3264</v>
      </c>
      <c r="R243" s="1" t="s">
        <v>4081</v>
      </c>
      <c r="S243" s="1" t="s">
        <v>4971</v>
      </c>
      <c r="T243" s="6">
        <v>44593</v>
      </c>
      <c r="U243" s="6">
        <v>44593</v>
      </c>
      <c r="V243" s="7">
        <v>0.58096892305555559</v>
      </c>
      <c r="W243" s="6">
        <v>44609</v>
      </c>
      <c r="X243" s="7">
        <v>0.41666666666666669</v>
      </c>
      <c r="Y243" s="8">
        <v>44610.469571759262</v>
      </c>
      <c r="Z243" s="5">
        <v>3400</v>
      </c>
      <c r="AA243" s="1" t="s">
        <v>3403</v>
      </c>
      <c r="AB243" s="1"/>
      <c r="AC243" s="1"/>
      <c r="AD243" s="1"/>
      <c r="AE243" s="1" t="s">
        <v>3720</v>
      </c>
      <c r="AF243" s="1" t="s">
        <v>9</v>
      </c>
      <c r="AG243" s="4">
        <v>40</v>
      </c>
      <c r="AH243" s="1"/>
      <c r="AI243" s="6">
        <v>44926</v>
      </c>
    </row>
    <row r="244" spans="1:35" x14ac:dyDescent="0.3">
      <c r="A244" s="1" t="s">
        <v>1806</v>
      </c>
      <c r="B244" s="2" t="str">
        <f>HYPERLINK("https://my.zakupki.prom.ua/remote/dispatcher/state_purchase_view/34693718")</f>
        <v>https://my.zakupki.prom.ua/remote/dispatcher/state_purchase_view/34693718</v>
      </c>
      <c r="C244" s="1" t="s">
        <v>2791</v>
      </c>
      <c r="D244" s="1" t="s">
        <v>1091</v>
      </c>
      <c r="E244" s="4">
        <v>50</v>
      </c>
      <c r="F244" s="5">
        <v>17000</v>
      </c>
      <c r="G244" s="1" t="s">
        <v>4981</v>
      </c>
      <c r="H244" s="1" t="s">
        <v>900</v>
      </c>
      <c r="I244" s="1" t="s">
        <v>2989</v>
      </c>
      <c r="J244" s="5">
        <v>850000</v>
      </c>
      <c r="K244" s="1" t="s">
        <v>3394</v>
      </c>
      <c r="L244" s="5">
        <v>4250</v>
      </c>
      <c r="M244" s="1" t="s">
        <v>2308</v>
      </c>
      <c r="N244" s="1" t="s">
        <v>3983</v>
      </c>
      <c r="O244" s="1" t="s">
        <v>2521</v>
      </c>
      <c r="P244" s="1" t="s">
        <v>2515</v>
      </c>
      <c r="Q244" s="1" t="s">
        <v>3264</v>
      </c>
      <c r="R244" s="1" t="s">
        <v>4460</v>
      </c>
      <c r="S244" s="1" t="s">
        <v>4971</v>
      </c>
      <c r="T244" s="6">
        <v>44593</v>
      </c>
      <c r="U244" s="6">
        <v>44593</v>
      </c>
      <c r="V244" s="7">
        <v>0.58521628931712966</v>
      </c>
      <c r="W244" s="6">
        <v>44609</v>
      </c>
      <c r="X244" s="7">
        <v>0</v>
      </c>
      <c r="Y244" s="8">
        <v>44609.611319444448</v>
      </c>
      <c r="Z244" s="5">
        <v>510</v>
      </c>
      <c r="AA244" s="1" t="s">
        <v>3403</v>
      </c>
      <c r="AB244" s="1"/>
      <c r="AC244" s="1"/>
      <c r="AD244" s="1"/>
      <c r="AE244" s="1" t="s">
        <v>3788</v>
      </c>
      <c r="AF244" s="1" t="s">
        <v>9</v>
      </c>
      <c r="AG244" s="4">
        <v>6</v>
      </c>
      <c r="AH244" s="1"/>
      <c r="AI244" s="6">
        <v>44926</v>
      </c>
    </row>
    <row r="245" spans="1:35" x14ac:dyDescent="0.3">
      <c r="A245" s="1" t="s">
        <v>1810</v>
      </c>
      <c r="B245" s="2" t="str">
        <f>HYPERLINK("https://my.zakupki.prom.ua/remote/dispatcher/state_purchase_view/34693715")</f>
        <v>https://my.zakupki.prom.ua/remote/dispatcher/state_purchase_view/34693715</v>
      </c>
      <c r="C245" s="1" t="s">
        <v>3626</v>
      </c>
      <c r="D245" s="1" t="s">
        <v>1231</v>
      </c>
      <c r="E245" s="4">
        <v>2</v>
      </c>
      <c r="F245" s="5">
        <v>10500</v>
      </c>
      <c r="G245" s="1" t="s">
        <v>4940</v>
      </c>
      <c r="H245" s="1" t="s">
        <v>912</v>
      </c>
      <c r="I245" s="1" t="s">
        <v>3157</v>
      </c>
      <c r="J245" s="5">
        <v>21000</v>
      </c>
      <c r="K245" s="1" t="s">
        <v>3394</v>
      </c>
      <c r="L245" s="5">
        <v>105</v>
      </c>
      <c r="M245" s="1" t="s">
        <v>2308</v>
      </c>
      <c r="N245" s="1" t="s">
        <v>3983</v>
      </c>
      <c r="O245" s="1" t="s">
        <v>2521</v>
      </c>
      <c r="P245" s="1" t="s">
        <v>2762</v>
      </c>
      <c r="Q245" s="1" t="s">
        <v>2761</v>
      </c>
      <c r="R245" s="1" t="s">
        <v>4670</v>
      </c>
      <c r="S245" s="1" t="s">
        <v>4937</v>
      </c>
      <c r="T245" s="6">
        <v>44593</v>
      </c>
      <c r="U245" s="6">
        <v>44599</v>
      </c>
      <c r="V245" s="7">
        <v>0.41666666666666669</v>
      </c>
      <c r="W245" s="6">
        <v>44602</v>
      </c>
      <c r="X245" s="7">
        <v>0.41666666666666669</v>
      </c>
      <c r="Y245" s="1" t="s">
        <v>4860</v>
      </c>
      <c r="Z245" s="5">
        <v>119</v>
      </c>
      <c r="AA245" s="1" t="s">
        <v>3403</v>
      </c>
      <c r="AB245" s="1"/>
      <c r="AC245" s="1"/>
      <c r="AD245" s="1"/>
      <c r="AE245" s="1" t="s">
        <v>3750</v>
      </c>
      <c r="AF245" s="1" t="s">
        <v>9</v>
      </c>
      <c r="AG245" s="4">
        <v>4</v>
      </c>
      <c r="AH245" s="1"/>
      <c r="AI245" s="6">
        <v>44926</v>
      </c>
    </row>
    <row r="246" spans="1:35" x14ac:dyDescent="0.3">
      <c r="A246" s="1" t="s">
        <v>1795</v>
      </c>
      <c r="B246" s="2" t="str">
        <f>HYPERLINK("https://my.zakupki.prom.ua/remote/dispatcher/state_purchase_view/34693689")</f>
        <v>https://my.zakupki.prom.ua/remote/dispatcher/state_purchase_view/34693689</v>
      </c>
      <c r="C246" s="1" t="s">
        <v>2499</v>
      </c>
      <c r="D246" s="1" t="s">
        <v>369</v>
      </c>
      <c r="E246" s="1" t="s">
        <v>4903</v>
      </c>
      <c r="F246" s="1" t="s">
        <v>4903</v>
      </c>
      <c r="G246" s="1" t="s">
        <v>4903</v>
      </c>
      <c r="H246" s="1" t="s">
        <v>545</v>
      </c>
      <c r="I246" s="1" t="s">
        <v>3464</v>
      </c>
      <c r="J246" s="5">
        <v>512300</v>
      </c>
      <c r="K246" s="1" t="s">
        <v>3394</v>
      </c>
      <c r="L246" s="5">
        <v>2561.5</v>
      </c>
      <c r="M246" s="1" t="s">
        <v>2308</v>
      </c>
      <c r="N246" s="1" t="s">
        <v>3983</v>
      </c>
      <c r="O246" s="1" t="s">
        <v>2521</v>
      </c>
      <c r="P246" s="1" t="s">
        <v>2515</v>
      </c>
      <c r="Q246" s="1" t="s">
        <v>2820</v>
      </c>
      <c r="R246" s="1" t="s">
        <v>4081</v>
      </c>
      <c r="S246" s="1" t="s">
        <v>4971</v>
      </c>
      <c r="T246" s="6">
        <v>44593</v>
      </c>
      <c r="U246" s="6">
        <v>44593</v>
      </c>
      <c r="V246" s="7">
        <v>0.58460648148148153</v>
      </c>
      <c r="W246" s="6">
        <v>44609</v>
      </c>
      <c r="X246" s="7">
        <v>0</v>
      </c>
      <c r="Y246" s="8">
        <v>44609.504259259258</v>
      </c>
      <c r="Z246" s="5">
        <v>510</v>
      </c>
      <c r="AA246" s="1" t="s">
        <v>3403</v>
      </c>
      <c r="AB246" s="1"/>
      <c r="AC246" s="1"/>
      <c r="AD246" s="1"/>
      <c r="AE246" s="1" t="s">
        <v>3781</v>
      </c>
      <c r="AF246" s="1" t="s">
        <v>9</v>
      </c>
      <c r="AG246" s="1" t="s">
        <v>9</v>
      </c>
      <c r="AH246" s="1"/>
      <c r="AI246" s="6">
        <v>44925</v>
      </c>
    </row>
    <row r="247" spans="1:35" x14ac:dyDescent="0.3">
      <c r="A247" s="1" t="s">
        <v>2214</v>
      </c>
      <c r="B247" s="2" t="str">
        <f>HYPERLINK("https://my.zakupki.prom.ua/remote/dispatcher/state_purchase_view/34693646")</f>
        <v>https://my.zakupki.prom.ua/remote/dispatcher/state_purchase_view/34693646</v>
      </c>
      <c r="C247" s="1" t="s">
        <v>3048</v>
      </c>
      <c r="D247" s="1" t="s">
        <v>789</v>
      </c>
      <c r="E247" s="1" t="s">
        <v>4903</v>
      </c>
      <c r="F247" s="1" t="s">
        <v>4903</v>
      </c>
      <c r="G247" s="1" t="s">
        <v>4903</v>
      </c>
      <c r="H247" s="1" t="s">
        <v>126</v>
      </c>
      <c r="I247" s="1" t="s">
        <v>2870</v>
      </c>
      <c r="J247" s="5">
        <v>230304.92</v>
      </c>
      <c r="K247" s="1" t="s">
        <v>3394</v>
      </c>
      <c r="L247" s="5">
        <v>1151.52</v>
      </c>
      <c r="M247" s="1" t="s">
        <v>2308</v>
      </c>
      <c r="N247" s="1" t="s">
        <v>3983</v>
      </c>
      <c r="O247" s="1" t="s">
        <v>2521</v>
      </c>
      <c r="P247" s="1" t="s">
        <v>2515</v>
      </c>
      <c r="Q247" s="1" t="s">
        <v>3970</v>
      </c>
      <c r="R247" s="1" t="s">
        <v>4570</v>
      </c>
      <c r="S247" s="1" t="s">
        <v>4971</v>
      </c>
      <c r="T247" s="6">
        <v>44593</v>
      </c>
      <c r="U247" s="6">
        <v>44593</v>
      </c>
      <c r="V247" s="7">
        <v>0.58799932577546299</v>
      </c>
      <c r="W247" s="6">
        <v>44609</v>
      </c>
      <c r="X247" s="7">
        <v>0.41666666666666669</v>
      </c>
      <c r="Y247" s="8">
        <v>44610.568692129629</v>
      </c>
      <c r="Z247" s="5">
        <v>510</v>
      </c>
      <c r="AA247" s="1" t="s">
        <v>3403</v>
      </c>
      <c r="AB247" s="1"/>
      <c r="AC247" s="1"/>
      <c r="AD247" s="1"/>
      <c r="AE247" s="1" t="s">
        <v>3788</v>
      </c>
      <c r="AF247" s="1" t="s">
        <v>9</v>
      </c>
      <c r="AG247" s="4">
        <v>1</v>
      </c>
      <c r="AH247" s="1"/>
      <c r="AI247" s="6">
        <v>44926</v>
      </c>
    </row>
    <row r="248" spans="1:35" x14ac:dyDescent="0.3">
      <c r="A248" s="1" t="s">
        <v>1800</v>
      </c>
      <c r="B248" s="2" t="str">
        <f>HYPERLINK("https://my.zakupki.prom.ua/remote/dispatcher/state_purchase_view/34693674")</f>
        <v>https://my.zakupki.prom.ua/remote/dispatcher/state_purchase_view/34693674</v>
      </c>
      <c r="C248" s="1" t="s">
        <v>3413</v>
      </c>
      <c r="D248" s="1" t="s">
        <v>464</v>
      </c>
      <c r="E248" s="1" t="s">
        <v>4903</v>
      </c>
      <c r="F248" s="1" t="s">
        <v>4903</v>
      </c>
      <c r="G248" s="1" t="s">
        <v>4903</v>
      </c>
      <c r="H248" s="1" t="s">
        <v>674</v>
      </c>
      <c r="I248" s="1" t="s">
        <v>3396</v>
      </c>
      <c r="J248" s="5">
        <v>1095000</v>
      </c>
      <c r="K248" s="1" t="s">
        <v>3394</v>
      </c>
      <c r="L248" s="5">
        <v>10950</v>
      </c>
      <c r="M248" s="1" t="s">
        <v>2308</v>
      </c>
      <c r="N248" s="1" t="s">
        <v>3983</v>
      </c>
      <c r="O248" s="1" t="s">
        <v>2521</v>
      </c>
      <c r="P248" s="1" t="s">
        <v>2515</v>
      </c>
      <c r="Q248" s="1" t="s">
        <v>3035</v>
      </c>
      <c r="R248" s="1" t="s">
        <v>4159</v>
      </c>
      <c r="S248" s="1" t="s">
        <v>4971</v>
      </c>
      <c r="T248" s="6">
        <v>44593</v>
      </c>
      <c r="U248" s="6">
        <v>44593</v>
      </c>
      <c r="V248" s="7">
        <v>0.58460206348379629</v>
      </c>
      <c r="W248" s="6">
        <v>44609</v>
      </c>
      <c r="X248" s="7">
        <v>0</v>
      </c>
      <c r="Y248" s="8">
        <v>44609.634270833332</v>
      </c>
      <c r="Z248" s="5">
        <v>1700</v>
      </c>
      <c r="AA248" s="1" t="s">
        <v>3403</v>
      </c>
      <c r="AB248" s="1"/>
      <c r="AC248" s="1"/>
      <c r="AD248" s="1"/>
      <c r="AE248" s="1" t="s">
        <v>3788</v>
      </c>
      <c r="AF248" s="1" t="s">
        <v>9</v>
      </c>
      <c r="AG248" s="4">
        <v>13</v>
      </c>
      <c r="AH248" s="1"/>
      <c r="AI248" s="6">
        <v>44923</v>
      </c>
    </row>
    <row r="249" spans="1:35" x14ac:dyDescent="0.3">
      <c r="A249" s="1" t="s">
        <v>1807</v>
      </c>
      <c r="B249" s="2" t="str">
        <f>HYPERLINK("https://my.zakupki.prom.ua/remote/dispatcher/state_purchase_view/34693671")</f>
        <v>https://my.zakupki.prom.ua/remote/dispatcher/state_purchase_view/34693671</v>
      </c>
      <c r="C249" s="1" t="s">
        <v>2618</v>
      </c>
      <c r="D249" s="1" t="s">
        <v>507</v>
      </c>
      <c r="E249" s="1" t="s">
        <v>4903</v>
      </c>
      <c r="F249" s="1" t="s">
        <v>4903</v>
      </c>
      <c r="G249" s="1" t="s">
        <v>4903</v>
      </c>
      <c r="H249" s="1" t="s">
        <v>968</v>
      </c>
      <c r="I249" s="1" t="s">
        <v>4748</v>
      </c>
      <c r="J249" s="5">
        <v>18874</v>
      </c>
      <c r="K249" s="1" t="s">
        <v>3394</v>
      </c>
      <c r="L249" s="5">
        <v>94.37</v>
      </c>
      <c r="M249" s="1" t="s">
        <v>2308</v>
      </c>
      <c r="N249" s="1" t="s">
        <v>3983</v>
      </c>
      <c r="O249" s="1" t="s">
        <v>2521</v>
      </c>
      <c r="P249" s="1" t="s">
        <v>3956</v>
      </c>
      <c r="Q249" s="1" t="s">
        <v>3035</v>
      </c>
      <c r="R249" s="1" t="s">
        <v>4081</v>
      </c>
      <c r="S249" s="1" t="s">
        <v>4937</v>
      </c>
      <c r="T249" s="6">
        <v>44593</v>
      </c>
      <c r="U249" s="6">
        <v>44599</v>
      </c>
      <c r="V249" s="7">
        <v>0.375</v>
      </c>
      <c r="W249" s="6">
        <v>44602</v>
      </c>
      <c r="X249" s="7">
        <v>0.375</v>
      </c>
      <c r="Y249" s="1" t="s">
        <v>4860</v>
      </c>
      <c r="Z249" s="5">
        <v>17</v>
      </c>
      <c r="AA249" s="1" t="s">
        <v>3403</v>
      </c>
      <c r="AB249" s="1"/>
      <c r="AC249" s="1"/>
      <c r="AD249" s="1"/>
      <c r="AE249" s="1" t="s">
        <v>3806</v>
      </c>
      <c r="AF249" s="1" t="s">
        <v>9</v>
      </c>
      <c r="AG249" s="4">
        <v>139</v>
      </c>
      <c r="AH249" s="1"/>
      <c r="AI249" s="6">
        <v>44926</v>
      </c>
    </row>
    <row r="250" spans="1:35" x14ac:dyDescent="0.3">
      <c r="A250" s="1" t="s">
        <v>2213</v>
      </c>
      <c r="B250" s="2" t="str">
        <f>HYPERLINK("https://my.zakupki.prom.ua/remote/dispatcher/state_purchase_view/34693659")</f>
        <v>https://my.zakupki.prom.ua/remote/dispatcher/state_purchase_view/34693659</v>
      </c>
      <c r="C250" s="1" t="s">
        <v>4005</v>
      </c>
      <c r="D250" s="1" t="s">
        <v>1222</v>
      </c>
      <c r="E250" s="4">
        <v>1</v>
      </c>
      <c r="F250" s="5">
        <v>239726.4</v>
      </c>
      <c r="G250" s="1" t="s">
        <v>4976</v>
      </c>
      <c r="H250" s="1" t="s">
        <v>1003</v>
      </c>
      <c r="I250" s="1" t="s">
        <v>2561</v>
      </c>
      <c r="J250" s="5">
        <v>239726.4</v>
      </c>
      <c r="K250" s="1" t="s">
        <v>3394</v>
      </c>
      <c r="L250" s="5">
        <v>3000</v>
      </c>
      <c r="M250" s="1" t="s">
        <v>2308</v>
      </c>
      <c r="N250" s="1" t="s">
        <v>3403</v>
      </c>
      <c r="O250" s="1" t="s">
        <v>2521</v>
      </c>
      <c r="P250" s="1" t="s">
        <v>3956</v>
      </c>
      <c r="Q250" s="1" t="s">
        <v>3426</v>
      </c>
      <c r="R250" s="1" t="s">
        <v>4433</v>
      </c>
      <c r="S250" s="1" t="s">
        <v>4937</v>
      </c>
      <c r="T250" s="6">
        <v>44593</v>
      </c>
      <c r="U250" s="6">
        <v>44600</v>
      </c>
      <c r="V250" s="7">
        <v>8.3333333333333329E-2</v>
      </c>
      <c r="W250" s="6">
        <v>44603</v>
      </c>
      <c r="X250" s="7">
        <v>0.5854166666666667</v>
      </c>
      <c r="Y250" s="1" t="s">
        <v>4860</v>
      </c>
      <c r="Z250" s="5">
        <v>510</v>
      </c>
      <c r="AA250" s="1" t="s">
        <v>3403</v>
      </c>
      <c r="AB250" s="1"/>
      <c r="AC250" s="1"/>
      <c r="AD250" s="1"/>
      <c r="AE250" s="1" t="s">
        <v>3704</v>
      </c>
      <c r="AF250" s="1" t="s">
        <v>9</v>
      </c>
      <c r="AG250" s="4">
        <v>75</v>
      </c>
      <c r="AH250" s="1"/>
      <c r="AI250" s="6">
        <v>44805</v>
      </c>
    </row>
    <row r="251" spans="1:35" x14ac:dyDescent="0.3">
      <c r="A251" s="1" t="s">
        <v>1798</v>
      </c>
      <c r="B251" s="2" t="str">
        <f>HYPERLINK("https://my.zakupki.prom.ua/remote/dispatcher/state_purchase_view/34693666")</f>
        <v>https://my.zakupki.prom.ua/remote/dispatcher/state_purchase_view/34693666</v>
      </c>
      <c r="C251" s="1" t="s">
        <v>2747</v>
      </c>
      <c r="D251" s="1" t="s">
        <v>1102</v>
      </c>
      <c r="E251" s="1" t="s">
        <v>4903</v>
      </c>
      <c r="F251" s="1" t="s">
        <v>4903</v>
      </c>
      <c r="G251" s="1" t="s">
        <v>4903</v>
      </c>
      <c r="H251" s="1" t="s">
        <v>331</v>
      </c>
      <c r="I251" s="1" t="s">
        <v>2463</v>
      </c>
      <c r="J251" s="5">
        <v>3636049.58</v>
      </c>
      <c r="K251" s="1" t="s">
        <v>3394</v>
      </c>
      <c r="L251" s="5">
        <v>18500</v>
      </c>
      <c r="M251" s="1" t="s">
        <v>2308</v>
      </c>
      <c r="N251" s="1" t="s">
        <v>3403</v>
      </c>
      <c r="O251" s="1" t="s">
        <v>876</v>
      </c>
      <c r="P251" s="1" t="s">
        <v>2516</v>
      </c>
      <c r="Q251" s="1" t="s">
        <v>3878</v>
      </c>
      <c r="R251" s="1" t="s">
        <v>4081</v>
      </c>
      <c r="S251" s="1" t="s">
        <v>4971</v>
      </c>
      <c r="T251" s="6">
        <v>44593</v>
      </c>
      <c r="U251" s="6">
        <v>44593</v>
      </c>
      <c r="V251" s="7">
        <v>0.585474537037037</v>
      </c>
      <c r="W251" s="6">
        <v>44629</v>
      </c>
      <c r="X251" s="7">
        <v>0.54166666666666663</v>
      </c>
      <c r="Y251" s="8">
        <v>44665.596967592595</v>
      </c>
      <c r="Z251" s="5">
        <v>1700</v>
      </c>
      <c r="AA251" s="1" t="s">
        <v>3403</v>
      </c>
      <c r="AB251" s="1"/>
      <c r="AC251" s="1"/>
      <c r="AD251" s="1"/>
      <c r="AE251" s="1" t="s">
        <v>3816</v>
      </c>
      <c r="AF251" s="1" t="s">
        <v>9</v>
      </c>
      <c r="AG251" s="4">
        <v>260</v>
      </c>
      <c r="AH251" s="1"/>
      <c r="AI251" s="6">
        <v>44895</v>
      </c>
    </row>
    <row r="252" spans="1:35" x14ac:dyDescent="0.3">
      <c r="A252" s="1" t="s">
        <v>2212</v>
      </c>
      <c r="B252" s="2" t="str">
        <f>HYPERLINK("https://my.zakupki.prom.ua/remote/dispatcher/state_purchase_view/34692957")</f>
        <v>https://my.zakupki.prom.ua/remote/dispatcher/state_purchase_view/34692957</v>
      </c>
      <c r="C252" s="1" t="s">
        <v>3380</v>
      </c>
      <c r="D252" s="1" t="s">
        <v>373</v>
      </c>
      <c r="E252" s="4">
        <v>4500</v>
      </c>
      <c r="F252" s="5">
        <v>24.61</v>
      </c>
      <c r="G252" s="1" t="s">
        <v>4908</v>
      </c>
      <c r="H252" s="1" t="s">
        <v>162</v>
      </c>
      <c r="I252" s="1" t="s">
        <v>3471</v>
      </c>
      <c r="J252" s="5">
        <v>110750</v>
      </c>
      <c r="K252" s="1" t="s">
        <v>3394</v>
      </c>
      <c r="L252" s="5">
        <v>1107.5</v>
      </c>
      <c r="M252" s="1" t="s">
        <v>2308</v>
      </c>
      <c r="N252" s="1" t="s">
        <v>3983</v>
      </c>
      <c r="O252" s="1" t="s">
        <v>2521</v>
      </c>
      <c r="P252" s="1" t="s">
        <v>3956</v>
      </c>
      <c r="Q252" s="1" t="s">
        <v>2756</v>
      </c>
      <c r="R252" s="1" t="s">
        <v>4555</v>
      </c>
      <c r="S252" s="1" t="s">
        <v>4937</v>
      </c>
      <c r="T252" s="6">
        <v>44593</v>
      </c>
      <c r="U252" s="6">
        <v>44599</v>
      </c>
      <c r="V252" s="7">
        <v>0.57361111111111107</v>
      </c>
      <c r="W252" s="6">
        <v>44602</v>
      </c>
      <c r="X252" s="7">
        <v>0.57361111111111107</v>
      </c>
      <c r="Y252" s="1" t="s">
        <v>4860</v>
      </c>
      <c r="Z252" s="5">
        <v>340</v>
      </c>
      <c r="AA252" s="1" t="s">
        <v>3403</v>
      </c>
      <c r="AB252" s="1"/>
      <c r="AC252" s="1"/>
      <c r="AD252" s="1"/>
      <c r="AE252" s="1" t="s">
        <v>3797</v>
      </c>
      <c r="AF252" s="1" t="s">
        <v>9</v>
      </c>
      <c r="AG252" s="4">
        <v>6</v>
      </c>
      <c r="AH252" s="1"/>
      <c r="AI252" s="6">
        <v>44651</v>
      </c>
    </row>
    <row r="253" spans="1:35" x14ac:dyDescent="0.3">
      <c r="A253" s="1" t="s">
        <v>2207</v>
      </c>
      <c r="B253" s="2" t="str">
        <f>HYPERLINK("https://my.zakupki.prom.ua/remote/dispatcher/state_purchase_view/34693622")</f>
        <v>https://my.zakupki.prom.ua/remote/dispatcher/state_purchase_view/34693622</v>
      </c>
      <c r="C253" s="1" t="s">
        <v>2634</v>
      </c>
      <c r="D253" s="1" t="s">
        <v>434</v>
      </c>
      <c r="E253" s="4">
        <v>2200</v>
      </c>
      <c r="F253" s="5">
        <v>131.65</v>
      </c>
      <c r="G253" s="1" t="s">
        <v>4883</v>
      </c>
      <c r="H253" s="1" t="s">
        <v>423</v>
      </c>
      <c r="I253" s="1" t="s">
        <v>2575</v>
      </c>
      <c r="J253" s="5">
        <v>289630</v>
      </c>
      <c r="K253" s="1" t="s">
        <v>3394</v>
      </c>
      <c r="L253" s="5">
        <v>1448.15</v>
      </c>
      <c r="M253" s="1" t="s">
        <v>2308</v>
      </c>
      <c r="N253" s="1" t="s">
        <v>3403</v>
      </c>
      <c r="O253" s="1" t="s">
        <v>2521</v>
      </c>
      <c r="P253" s="1" t="s">
        <v>2762</v>
      </c>
      <c r="Q253" s="1" t="s">
        <v>4794</v>
      </c>
      <c r="R253" s="1" t="s">
        <v>4081</v>
      </c>
      <c r="S253" s="1" t="s">
        <v>4937</v>
      </c>
      <c r="T253" s="6">
        <v>44593</v>
      </c>
      <c r="U253" s="6">
        <v>44599</v>
      </c>
      <c r="V253" s="7">
        <v>0.625</v>
      </c>
      <c r="W253" s="6">
        <v>44602</v>
      </c>
      <c r="X253" s="7">
        <v>0.625</v>
      </c>
      <c r="Y253" s="1" t="s">
        <v>4860</v>
      </c>
      <c r="Z253" s="5">
        <v>510</v>
      </c>
      <c r="AA253" s="1" t="s">
        <v>3403</v>
      </c>
      <c r="AB253" s="1"/>
      <c r="AC253" s="1"/>
      <c r="AD253" s="1"/>
      <c r="AE253" s="1" t="s">
        <v>2359</v>
      </c>
      <c r="AF253" s="1" t="s">
        <v>9</v>
      </c>
      <c r="AG253" s="1" t="s">
        <v>9</v>
      </c>
      <c r="AH253" s="6">
        <v>44616</v>
      </c>
      <c r="AI253" s="6">
        <v>44623</v>
      </c>
    </row>
    <row r="254" spans="1:35" x14ac:dyDescent="0.3">
      <c r="A254" s="1" t="s">
        <v>2203</v>
      </c>
      <c r="B254" s="2" t="str">
        <f>HYPERLINK("https://my.zakupki.prom.ua/remote/dispatcher/state_purchase_view/34693599")</f>
        <v>https://my.zakupki.prom.ua/remote/dispatcher/state_purchase_view/34693599</v>
      </c>
      <c r="C254" s="1" t="s">
        <v>2312</v>
      </c>
      <c r="D254" s="1" t="s">
        <v>1138</v>
      </c>
      <c r="E254" s="4">
        <v>1</v>
      </c>
      <c r="F254" s="5">
        <v>6951298.2000000002</v>
      </c>
      <c r="G254" s="1" t="s">
        <v>4975</v>
      </c>
      <c r="H254" s="1" t="s">
        <v>743</v>
      </c>
      <c r="I254" s="1" t="s">
        <v>3469</v>
      </c>
      <c r="J254" s="5">
        <v>6951298.2000000002</v>
      </c>
      <c r="K254" s="1" t="s">
        <v>3394</v>
      </c>
      <c r="L254" s="5">
        <v>34756.49</v>
      </c>
      <c r="M254" s="1" t="s">
        <v>2308</v>
      </c>
      <c r="N254" s="1" t="s">
        <v>3983</v>
      </c>
      <c r="O254" s="1" t="s">
        <v>818</v>
      </c>
      <c r="P254" s="1" t="s">
        <v>2515</v>
      </c>
      <c r="Q254" s="1" t="s">
        <v>2756</v>
      </c>
      <c r="R254" s="1" t="s">
        <v>4081</v>
      </c>
      <c r="S254" s="1" t="s">
        <v>4971</v>
      </c>
      <c r="T254" s="6">
        <v>44593</v>
      </c>
      <c r="U254" s="6">
        <v>44593</v>
      </c>
      <c r="V254" s="7">
        <v>0.58755787037037033</v>
      </c>
      <c r="W254" s="6">
        <v>44609</v>
      </c>
      <c r="X254" s="7">
        <v>0.625</v>
      </c>
      <c r="Y254" s="8">
        <v>44610.502384259256</v>
      </c>
      <c r="Z254" s="5">
        <v>3400</v>
      </c>
      <c r="AA254" s="1" t="s">
        <v>3403</v>
      </c>
      <c r="AB254" s="1"/>
      <c r="AC254" s="1"/>
      <c r="AD254" s="1"/>
      <c r="AE254" s="1" t="s">
        <v>3700</v>
      </c>
      <c r="AF254" s="1" t="s">
        <v>9</v>
      </c>
      <c r="AG254" s="1" t="s">
        <v>9</v>
      </c>
      <c r="AH254" s="1"/>
      <c r="AI254" s="6">
        <v>44865</v>
      </c>
    </row>
    <row r="255" spans="1:35" x14ac:dyDescent="0.3">
      <c r="A255" s="1" t="s">
        <v>1659</v>
      </c>
      <c r="B255" s="2" t="str">
        <f>HYPERLINK("https://my.zakupki.prom.ua/remote/dispatcher/state_purchase_view/34693595")</f>
        <v>https://my.zakupki.prom.ua/remote/dispatcher/state_purchase_view/34693595</v>
      </c>
      <c r="C255" s="1" t="s">
        <v>3529</v>
      </c>
      <c r="D255" s="1" t="s">
        <v>1290</v>
      </c>
      <c r="E255" s="4">
        <v>1</v>
      </c>
      <c r="F255" s="5">
        <v>1082000</v>
      </c>
      <c r="G255" s="1" t="s">
        <v>4940</v>
      </c>
      <c r="H255" s="1" t="s">
        <v>668</v>
      </c>
      <c r="I255" s="1" t="s">
        <v>2710</v>
      </c>
      <c r="J255" s="5">
        <v>1082000</v>
      </c>
      <c r="K255" s="1" t="s">
        <v>3394</v>
      </c>
      <c r="L255" s="5">
        <v>5410</v>
      </c>
      <c r="M255" s="1" t="s">
        <v>2308</v>
      </c>
      <c r="N255" s="1" t="s">
        <v>3983</v>
      </c>
      <c r="O255" s="1" t="s">
        <v>754</v>
      </c>
      <c r="P255" s="1" t="s">
        <v>2515</v>
      </c>
      <c r="Q255" s="1" t="s">
        <v>3035</v>
      </c>
      <c r="R255" s="1" t="s">
        <v>4431</v>
      </c>
      <c r="S255" s="1" t="s">
        <v>4971</v>
      </c>
      <c r="T255" s="6">
        <v>44593</v>
      </c>
      <c r="U255" s="6">
        <v>44593</v>
      </c>
      <c r="V255" s="7">
        <v>0.53702086157407414</v>
      </c>
      <c r="W255" s="6">
        <v>44609</v>
      </c>
      <c r="X255" s="7">
        <v>0</v>
      </c>
      <c r="Y255" s="8">
        <v>44609.58357638889</v>
      </c>
      <c r="Z255" s="5">
        <v>1700</v>
      </c>
      <c r="AA255" s="1" t="s">
        <v>3403</v>
      </c>
      <c r="AB255" s="1"/>
      <c r="AC255" s="1"/>
      <c r="AD255" s="1"/>
      <c r="AE255" s="1" t="s">
        <v>3727</v>
      </c>
      <c r="AF255" s="1" t="s">
        <v>9</v>
      </c>
      <c r="AG255" s="4">
        <v>6</v>
      </c>
      <c r="AH255" s="6">
        <v>44638</v>
      </c>
      <c r="AI255" s="6">
        <v>44925</v>
      </c>
    </row>
    <row r="256" spans="1:35" x14ac:dyDescent="0.3">
      <c r="A256" s="1" t="s">
        <v>1486</v>
      </c>
      <c r="B256" s="2" t="str">
        <f>HYPERLINK("https://my.zakupki.prom.ua/remote/dispatcher/state_purchase_view/34693588")</f>
        <v>https://my.zakupki.prom.ua/remote/dispatcher/state_purchase_view/34693588</v>
      </c>
      <c r="C256" s="1" t="s">
        <v>2641</v>
      </c>
      <c r="D256" s="1" t="s">
        <v>472</v>
      </c>
      <c r="E256" s="4">
        <v>2042</v>
      </c>
      <c r="F256" s="5">
        <v>33.35</v>
      </c>
      <c r="G256" s="1" t="s">
        <v>4883</v>
      </c>
      <c r="H256" s="1" t="s">
        <v>133</v>
      </c>
      <c r="I256" s="1" t="s">
        <v>2564</v>
      </c>
      <c r="J256" s="5">
        <v>68101</v>
      </c>
      <c r="K256" s="1" t="s">
        <v>3394</v>
      </c>
      <c r="L256" s="5">
        <v>340.51</v>
      </c>
      <c r="M256" s="1" t="s">
        <v>2308</v>
      </c>
      <c r="N256" s="1" t="s">
        <v>3983</v>
      </c>
      <c r="O256" s="1" t="s">
        <v>539</v>
      </c>
      <c r="P256" s="1" t="s">
        <v>3956</v>
      </c>
      <c r="Q256" s="1" t="s">
        <v>4794</v>
      </c>
      <c r="R256" s="1" t="s">
        <v>4138</v>
      </c>
      <c r="S256" s="1" t="s">
        <v>4937</v>
      </c>
      <c r="T256" s="6">
        <v>44593</v>
      </c>
      <c r="U256" s="6">
        <v>44597</v>
      </c>
      <c r="V256" s="7">
        <v>0</v>
      </c>
      <c r="W256" s="6">
        <v>44601</v>
      </c>
      <c r="X256" s="7">
        <v>0</v>
      </c>
      <c r="Y256" s="1" t="s">
        <v>4860</v>
      </c>
      <c r="Z256" s="5">
        <v>340</v>
      </c>
      <c r="AA256" s="1" t="s">
        <v>3403</v>
      </c>
      <c r="AB256" s="1"/>
      <c r="AC256" s="1"/>
      <c r="AD256" s="1"/>
      <c r="AE256" s="1" t="s">
        <v>3774</v>
      </c>
      <c r="AF256" s="1" t="s">
        <v>9</v>
      </c>
      <c r="AG256" s="1" t="s">
        <v>9</v>
      </c>
      <c r="AH256" s="1"/>
      <c r="AI256" s="6">
        <v>44926</v>
      </c>
    </row>
    <row r="257" spans="1:35" x14ac:dyDescent="0.3">
      <c r="A257" s="1" t="s">
        <v>2178</v>
      </c>
      <c r="B257" s="2" t="str">
        <f>HYPERLINK("https://my.zakupki.prom.ua/remote/dispatcher/state_purchase_view/34693578")</f>
        <v>https://my.zakupki.prom.ua/remote/dispatcher/state_purchase_view/34693578</v>
      </c>
      <c r="C257" s="1" t="s">
        <v>7</v>
      </c>
      <c r="D257" s="1" t="s">
        <v>453</v>
      </c>
      <c r="E257" s="4">
        <v>1000</v>
      </c>
      <c r="F257" s="5">
        <v>95</v>
      </c>
      <c r="G257" s="1" t="s">
        <v>4883</v>
      </c>
      <c r="H257" s="1" t="s">
        <v>1072</v>
      </c>
      <c r="I257" s="1" t="s">
        <v>2514</v>
      </c>
      <c r="J257" s="5">
        <v>95000</v>
      </c>
      <c r="K257" s="1" t="s">
        <v>3394</v>
      </c>
      <c r="L257" s="5">
        <v>475</v>
      </c>
      <c r="M257" s="1" t="s">
        <v>2308</v>
      </c>
      <c r="N257" s="1" t="s">
        <v>3983</v>
      </c>
      <c r="O257" s="1" t="s">
        <v>2521</v>
      </c>
      <c r="P257" s="1" t="s">
        <v>3956</v>
      </c>
      <c r="Q257" s="1" t="s">
        <v>3426</v>
      </c>
      <c r="R257" s="1" t="s">
        <v>4703</v>
      </c>
      <c r="S257" s="1" t="s">
        <v>4937</v>
      </c>
      <c r="T257" s="6">
        <v>44593</v>
      </c>
      <c r="U257" s="6">
        <v>44599</v>
      </c>
      <c r="V257" s="7">
        <v>0.58353009259259259</v>
      </c>
      <c r="W257" s="6">
        <v>44606</v>
      </c>
      <c r="X257" s="7">
        <v>0.58353009259259259</v>
      </c>
      <c r="Y257" s="1" t="s">
        <v>4860</v>
      </c>
      <c r="Z257" s="5">
        <v>340</v>
      </c>
      <c r="AA257" s="1" t="s">
        <v>3403</v>
      </c>
      <c r="AB257" s="1"/>
      <c r="AC257" s="1"/>
      <c r="AD257" s="1"/>
      <c r="AE257" s="1" t="s">
        <v>3768</v>
      </c>
      <c r="AF257" s="1" t="s">
        <v>9</v>
      </c>
      <c r="AG257" s="4">
        <v>1</v>
      </c>
      <c r="AH257" s="6">
        <v>44593</v>
      </c>
      <c r="AI257" s="6">
        <v>44926</v>
      </c>
    </row>
    <row r="258" spans="1:35" x14ac:dyDescent="0.3">
      <c r="A258" s="1" t="s">
        <v>1794</v>
      </c>
      <c r="B258" s="2" t="str">
        <f>HYPERLINK("https://my.zakupki.prom.ua/remote/dispatcher/state_purchase_view/34693573")</f>
        <v>https://my.zakupki.prom.ua/remote/dispatcher/state_purchase_view/34693573</v>
      </c>
      <c r="C258" s="1" t="s">
        <v>2719</v>
      </c>
      <c r="D258" s="1" t="s">
        <v>269</v>
      </c>
      <c r="E258" s="1" t="s">
        <v>4903</v>
      </c>
      <c r="F258" s="1" t="s">
        <v>4903</v>
      </c>
      <c r="G258" s="1" t="s">
        <v>4903</v>
      </c>
      <c r="H258" s="1" t="s">
        <v>1105</v>
      </c>
      <c r="I258" s="1" t="s">
        <v>3097</v>
      </c>
      <c r="J258" s="5">
        <v>427000</v>
      </c>
      <c r="K258" s="1" t="s">
        <v>3394</v>
      </c>
      <c r="L258" s="5">
        <v>2135</v>
      </c>
      <c r="M258" s="1" t="s">
        <v>2308</v>
      </c>
      <c r="N258" s="1" t="s">
        <v>3983</v>
      </c>
      <c r="O258" s="1" t="s">
        <v>2521</v>
      </c>
      <c r="P258" s="1" t="s">
        <v>2515</v>
      </c>
      <c r="Q258" s="1" t="s">
        <v>2808</v>
      </c>
      <c r="R258" s="1" t="s">
        <v>4452</v>
      </c>
      <c r="S258" s="1" t="s">
        <v>4971</v>
      </c>
      <c r="T258" s="6">
        <v>44593</v>
      </c>
      <c r="U258" s="6">
        <v>44593</v>
      </c>
      <c r="V258" s="7">
        <v>0.58233526531250002</v>
      </c>
      <c r="W258" s="6">
        <v>44609</v>
      </c>
      <c r="X258" s="7">
        <v>0.39583333333333331</v>
      </c>
      <c r="Y258" s="8">
        <v>44610.63858796296</v>
      </c>
      <c r="Z258" s="5">
        <v>510</v>
      </c>
      <c r="AA258" s="1" t="s">
        <v>3403</v>
      </c>
      <c r="AB258" s="1"/>
      <c r="AC258" s="1"/>
      <c r="AD258" s="1"/>
      <c r="AE258" s="1" t="s">
        <v>3797</v>
      </c>
      <c r="AF258" s="1" t="s">
        <v>9</v>
      </c>
      <c r="AG258" s="1" t="s">
        <v>9</v>
      </c>
      <c r="AH258" s="1"/>
      <c r="AI258" s="6">
        <v>44834</v>
      </c>
    </row>
    <row r="259" spans="1:35" x14ac:dyDescent="0.3">
      <c r="A259" s="1" t="s">
        <v>2211</v>
      </c>
      <c r="B259" s="2" t="str">
        <f>HYPERLINK("https://my.zakupki.prom.ua/remote/dispatcher/state_purchase_view/34693571")</f>
        <v>https://my.zakupki.prom.ua/remote/dispatcher/state_purchase_view/34693571</v>
      </c>
      <c r="C259" s="1" t="s">
        <v>3299</v>
      </c>
      <c r="D259" s="1" t="s">
        <v>474</v>
      </c>
      <c r="E259" s="4">
        <v>1400</v>
      </c>
      <c r="F259" s="5">
        <v>250</v>
      </c>
      <c r="G259" s="1" t="s">
        <v>4901</v>
      </c>
      <c r="H259" s="1" t="s">
        <v>561</v>
      </c>
      <c r="I259" s="1" t="s">
        <v>2962</v>
      </c>
      <c r="J259" s="5">
        <v>350000</v>
      </c>
      <c r="K259" s="1" t="s">
        <v>3394</v>
      </c>
      <c r="L259" s="5">
        <v>1750</v>
      </c>
      <c r="M259" s="1" t="s">
        <v>2308</v>
      </c>
      <c r="N259" s="1" t="s">
        <v>3983</v>
      </c>
      <c r="O259" s="1" t="s">
        <v>2521</v>
      </c>
      <c r="P259" s="1" t="s">
        <v>2515</v>
      </c>
      <c r="Q259" s="1" t="s">
        <v>4833</v>
      </c>
      <c r="R259" s="1" t="s">
        <v>4397</v>
      </c>
      <c r="S259" s="1" t="s">
        <v>4971</v>
      </c>
      <c r="T259" s="6">
        <v>44593</v>
      </c>
      <c r="U259" s="6">
        <v>44593</v>
      </c>
      <c r="V259" s="7">
        <v>0.5876020797800926</v>
      </c>
      <c r="W259" s="6">
        <v>44609</v>
      </c>
      <c r="X259" s="7">
        <v>0</v>
      </c>
      <c r="Y259" s="8">
        <v>44609.526030092595</v>
      </c>
      <c r="Z259" s="5">
        <v>510</v>
      </c>
      <c r="AA259" s="1" t="s">
        <v>3403</v>
      </c>
      <c r="AB259" s="1"/>
      <c r="AC259" s="1"/>
      <c r="AD259" s="1"/>
      <c r="AE259" s="1" t="s">
        <v>3795</v>
      </c>
      <c r="AF259" s="1" t="s">
        <v>9</v>
      </c>
      <c r="AG259" s="1" t="s">
        <v>9</v>
      </c>
      <c r="AH259" s="1"/>
      <c r="AI259" s="6">
        <v>44926</v>
      </c>
    </row>
    <row r="260" spans="1:35" x14ac:dyDescent="0.3">
      <c r="A260" s="1" t="s">
        <v>2210</v>
      </c>
      <c r="B260" s="2" t="str">
        <f>HYPERLINK("https://my.zakupki.prom.ua/remote/dispatcher/state_purchase_view/34693556")</f>
        <v>https://my.zakupki.prom.ua/remote/dispatcher/state_purchase_view/34693556</v>
      </c>
      <c r="C260" s="1" t="s">
        <v>2555</v>
      </c>
      <c r="D260" s="1" t="s">
        <v>485</v>
      </c>
      <c r="E260" s="1" t="s">
        <v>4903</v>
      </c>
      <c r="F260" s="1" t="s">
        <v>4903</v>
      </c>
      <c r="G260" s="1" t="s">
        <v>4903</v>
      </c>
      <c r="H260" s="1" t="s">
        <v>574</v>
      </c>
      <c r="I260" s="1" t="s">
        <v>3200</v>
      </c>
      <c r="J260" s="5">
        <v>31341</v>
      </c>
      <c r="K260" s="1" t="s">
        <v>3394</v>
      </c>
      <c r="L260" s="5">
        <v>313.41000000000003</v>
      </c>
      <c r="M260" s="1" t="s">
        <v>2308</v>
      </c>
      <c r="N260" s="1" t="s">
        <v>3983</v>
      </c>
      <c r="O260" s="1" t="s">
        <v>2521</v>
      </c>
      <c r="P260" s="1" t="s">
        <v>3956</v>
      </c>
      <c r="Q260" s="1" t="s">
        <v>3238</v>
      </c>
      <c r="R260" s="1" t="s">
        <v>4424</v>
      </c>
      <c r="S260" s="1" t="s">
        <v>4937</v>
      </c>
      <c r="T260" s="6">
        <v>44593</v>
      </c>
      <c r="U260" s="6">
        <v>44599</v>
      </c>
      <c r="V260" s="7">
        <v>0.58333333333333337</v>
      </c>
      <c r="W260" s="6">
        <v>44602</v>
      </c>
      <c r="X260" s="7">
        <v>0.41666666666666669</v>
      </c>
      <c r="Y260" s="1" t="s">
        <v>4860</v>
      </c>
      <c r="Z260" s="5">
        <v>119</v>
      </c>
      <c r="AA260" s="1" t="s">
        <v>3403</v>
      </c>
      <c r="AB260" s="1"/>
      <c r="AC260" s="1"/>
      <c r="AD260" s="1"/>
      <c r="AE260" s="1" t="s">
        <v>3788</v>
      </c>
      <c r="AF260" s="1" t="s">
        <v>9</v>
      </c>
      <c r="AG260" s="4">
        <v>2</v>
      </c>
      <c r="AH260" s="1"/>
      <c r="AI260" s="6">
        <v>44925</v>
      </c>
    </row>
    <row r="261" spans="1:35" x14ac:dyDescent="0.3">
      <c r="A261" s="1" t="s">
        <v>2209</v>
      </c>
      <c r="B261" s="2" t="str">
        <f>HYPERLINK("https://my.zakupki.prom.ua/remote/dispatcher/state_purchase_view/34667835")</f>
        <v>https://my.zakupki.prom.ua/remote/dispatcher/state_purchase_view/34667835</v>
      </c>
      <c r="C261" s="1" t="s">
        <v>3319</v>
      </c>
      <c r="D261" s="1" t="s">
        <v>764</v>
      </c>
      <c r="E261" s="1" t="s">
        <v>4903</v>
      </c>
      <c r="F261" s="1" t="s">
        <v>4903</v>
      </c>
      <c r="G261" s="1" t="s">
        <v>4903</v>
      </c>
      <c r="H261" s="1" t="s">
        <v>837</v>
      </c>
      <c r="I261" s="1" t="s">
        <v>2860</v>
      </c>
      <c r="J261" s="5">
        <v>4798000</v>
      </c>
      <c r="K261" s="1" t="s">
        <v>3394</v>
      </c>
      <c r="L261" s="5">
        <v>48000</v>
      </c>
      <c r="M261" s="1" t="s">
        <v>2308</v>
      </c>
      <c r="N261" s="1" t="s">
        <v>3983</v>
      </c>
      <c r="O261" s="1" t="s">
        <v>2521</v>
      </c>
      <c r="P261" s="1" t="s">
        <v>2516</v>
      </c>
      <c r="Q261" s="1" t="s">
        <v>3970</v>
      </c>
      <c r="R261" s="1" t="s">
        <v>4376</v>
      </c>
      <c r="S261" s="1" t="s">
        <v>4971</v>
      </c>
      <c r="T261" s="6">
        <v>44593</v>
      </c>
      <c r="U261" s="6">
        <v>44593</v>
      </c>
      <c r="V261" s="7">
        <v>0.58715206653935181</v>
      </c>
      <c r="W261" s="6">
        <v>44624</v>
      </c>
      <c r="X261" s="7">
        <v>0</v>
      </c>
      <c r="Y261" s="8">
        <v>44659.521284722221</v>
      </c>
      <c r="Z261" s="5">
        <v>3400</v>
      </c>
      <c r="AA261" s="1" t="s">
        <v>3403</v>
      </c>
      <c r="AB261" s="1"/>
      <c r="AC261" s="1"/>
      <c r="AD261" s="1"/>
      <c r="AE261" s="1" t="s">
        <v>3765</v>
      </c>
      <c r="AF261" s="1" t="s">
        <v>9</v>
      </c>
      <c r="AG261" s="4">
        <v>10</v>
      </c>
      <c r="AH261" s="1"/>
      <c r="AI261" s="6">
        <v>44926</v>
      </c>
    </row>
    <row r="262" spans="1:35" x14ac:dyDescent="0.3">
      <c r="A262" s="1" t="s">
        <v>2208</v>
      </c>
      <c r="B262" s="2" t="str">
        <f>HYPERLINK("https://my.zakupki.prom.ua/remote/dispatcher/state_purchase_view/34693529")</f>
        <v>https://my.zakupki.prom.ua/remote/dispatcher/state_purchase_view/34693529</v>
      </c>
      <c r="C262" s="1" t="s">
        <v>3415</v>
      </c>
      <c r="D262" s="1" t="s">
        <v>227</v>
      </c>
      <c r="E262" s="1" t="s">
        <v>4903</v>
      </c>
      <c r="F262" s="1" t="s">
        <v>4903</v>
      </c>
      <c r="G262" s="1" t="s">
        <v>4903</v>
      </c>
      <c r="H262" s="1" t="s">
        <v>291</v>
      </c>
      <c r="I262" s="1" t="s">
        <v>2424</v>
      </c>
      <c r="J262" s="5">
        <v>100750</v>
      </c>
      <c r="K262" s="1" t="s">
        <v>3394</v>
      </c>
      <c r="L262" s="5">
        <v>503.75</v>
      </c>
      <c r="M262" s="1" t="s">
        <v>2308</v>
      </c>
      <c r="N262" s="1" t="s">
        <v>3983</v>
      </c>
      <c r="O262" s="1" t="s">
        <v>2521</v>
      </c>
      <c r="P262" s="1" t="s">
        <v>3956</v>
      </c>
      <c r="Q262" s="1" t="s">
        <v>2796</v>
      </c>
      <c r="R262" s="1" t="s">
        <v>4098</v>
      </c>
      <c r="S262" s="1" t="s">
        <v>4937</v>
      </c>
      <c r="T262" s="6">
        <v>44593</v>
      </c>
      <c r="U262" s="6">
        <v>44599</v>
      </c>
      <c r="V262" s="7">
        <v>0.5805555555555556</v>
      </c>
      <c r="W262" s="6">
        <v>44602</v>
      </c>
      <c r="X262" s="7">
        <v>0.58333333333333337</v>
      </c>
      <c r="Y262" s="1" t="s">
        <v>4860</v>
      </c>
      <c r="Z262" s="5">
        <v>340</v>
      </c>
      <c r="AA262" s="1" t="s">
        <v>3403</v>
      </c>
      <c r="AB262" s="1"/>
      <c r="AC262" s="1"/>
      <c r="AD262" s="1"/>
      <c r="AE262" s="1" t="s">
        <v>3801</v>
      </c>
      <c r="AF262" s="1" t="s">
        <v>9</v>
      </c>
      <c r="AG262" s="1" t="s">
        <v>9</v>
      </c>
      <c r="AH262" s="1"/>
      <c r="AI262" s="6">
        <v>44926</v>
      </c>
    </row>
    <row r="263" spans="1:35" x14ac:dyDescent="0.3">
      <c r="A263" s="1" t="s">
        <v>2206</v>
      </c>
      <c r="B263" s="2" t="str">
        <f>HYPERLINK("https://my.zakupki.prom.ua/remote/dispatcher/state_purchase_view/34670584")</f>
        <v>https://my.zakupki.prom.ua/remote/dispatcher/state_purchase_view/34670584</v>
      </c>
      <c r="C263" s="1" t="s">
        <v>3557</v>
      </c>
      <c r="D263" s="1" t="s">
        <v>1291</v>
      </c>
      <c r="E263" s="4">
        <v>1</v>
      </c>
      <c r="F263" s="5">
        <v>3059600</v>
      </c>
      <c r="G263" s="1" t="s">
        <v>4940</v>
      </c>
      <c r="H263" s="1" t="s">
        <v>272</v>
      </c>
      <c r="I263" s="1" t="s">
        <v>3428</v>
      </c>
      <c r="J263" s="5">
        <v>3059600</v>
      </c>
      <c r="K263" s="1" t="s">
        <v>3394</v>
      </c>
      <c r="L263" s="5">
        <v>15298</v>
      </c>
      <c r="M263" s="1" t="s">
        <v>2308</v>
      </c>
      <c r="N263" s="1" t="s">
        <v>3983</v>
      </c>
      <c r="O263" s="1" t="s">
        <v>2521</v>
      </c>
      <c r="P263" s="1" t="s">
        <v>2515</v>
      </c>
      <c r="Q263" s="1" t="s">
        <v>3426</v>
      </c>
      <c r="R263" s="1" t="s">
        <v>4081</v>
      </c>
      <c r="S263" s="1" t="s">
        <v>4971</v>
      </c>
      <c r="T263" s="6">
        <v>44593</v>
      </c>
      <c r="U263" s="6">
        <v>44593</v>
      </c>
      <c r="V263" s="7">
        <v>0.58649139211805557</v>
      </c>
      <c r="W263" s="6">
        <v>44609</v>
      </c>
      <c r="X263" s="7">
        <v>4.1666666666666664E-2</v>
      </c>
      <c r="Y263" s="8">
        <v>44610.62228009259</v>
      </c>
      <c r="Z263" s="5">
        <v>1700</v>
      </c>
      <c r="AA263" s="1" t="s">
        <v>3403</v>
      </c>
      <c r="AB263" s="1"/>
      <c r="AC263" s="1"/>
      <c r="AD263" s="1"/>
      <c r="AE263" s="1" t="s">
        <v>3743</v>
      </c>
      <c r="AF263" s="1" t="s">
        <v>9</v>
      </c>
      <c r="AG263" s="4">
        <v>1</v>
      </c>
      <c r="AH263" s="6">
        <v>44621</v>
      </c>
      <c r="AI263" s="6">
        <v>44926</v>
      </c>
    </row>
    <row r="264" spans="1:35" x14ac:dyDescent="0.3">
      <c r="A264" s="1" t="s">
        <v>2205</v>
      </c>
      <c r="B264" s="2" t="str">
        <f>HYPERLINK("https://my.zakupki.prom.ua/remote/dispatcher/state_purchase_view/34693362")</f>
        <v>https://my.zakupki.prom.ua/remote/dispatcher/state_purchase_view/34693362</v>
      </c>
      <c r="C264" s="1" t="s">
        <v>3629</v>
      </c>
      <c r="D264" s="1" t="s">
        <v>1292</v>
      </c>
      <c r="E264" s="1" t="s">
        <v>4903</v>
      </c>
      <c r="F264" s="1" t="s">
        <v>4903</v>
      </c>
      <c r="G264" s="1" t="s">
        <v>4903</v>
      </c>
      <c r="H264" s="1" t="s">
        <v>652</v>
      </c>
      <c r="I264" s="1" t="s">
        <v>2953</v>
      </c>
      <c r="J264" s="5">
        <v>6720</v>
      </c>
      <c r="K264" s="1" t="s">
        <v>3394</v>
      </c>
      <c r="L264" s="5">
        <v>67.2</v>
      </c>
      <c r="M264" s="1" t="s">
        <v>2308</v>
      </c>
      <c r="N264" s="1" t="s">
        <v>3983</v>
      </c>
      <c r="O264" s="1" t="s">
        <v>2521</v>
      </c>
      <c r="P264" s="1" t="s">
        <v>2762</v>
      </c>
      <c r="Q264" s="1" t="s">
        <v>2761</v>
      </c>
      <c r="R264" s="1" t="s">
        <v>4492</v>
      </c>
      <c r="S264" s="1" t="s">
        <v>4937</v>
      </c>
      <c r="T264" s="6">
        <v>44593</v>
      </c>
      <c r="U264" s="6">
        <v>44599</v>
      </c>
      <c r="V264" s="7">
        <v>0</v>
      </c>
      <c r="W264" s="6">
        <v>44602</v>
      </c>
      <c r="X264" s="7">
        <v>0</v>
      </c>
      <c r="Y264" s="1" t="s">
        <v>4860</v>
      </c>
      <c r="Z264" s="5">
        <v>17</v>
      </c>
      <c r="AA264" s="1" t="s">
        <v>3403</v>
      </c>
      <c r="AB264" s="1"/>
      <c r="AC264" s="1"/>
      <c r="AD264" s="1"/>
      <c r="AE264" s="1" t="s">
        <v>3750</v>
      </c>
      <c r="AF264" s="1" t="s">
        <v>9</v>
      </c>
      <c r="AG264" s="4">
        <v>2</v>
      </c>
      <c r="AH264" s="1"/>
      <c r="AI264" s="6">
        <v>44926</v>
      </c>
    </row>
    <row r="265" spans="1:35" x14ac:dyDescent="0.3">
      <c r="A265" s="1" t="s">
        <v>2204</v>
      </c>
      <c r="B265" s="2" t="str">
        <f>HYPERLINK("https://my.zakupki.prom.ua/remote/dispatcher/state_purchase_view/34693495")</f>
        <v>https://my.zakupki.prom.ua/remote/dispatcher/state_purchase_view/34693495</v>
      </c>
      <c r="C265" s="1" t="s">
        <v>3521</v>
      </c>
      <c r="D265" s="1" t="s">
        <v>1248</v>
      </c>
      <c r="E265" s="4">
        <v>1</v>
      </c>
      <c r="F265" s="5">
        <v>99000</v>
      </c>
      <c r="G265" s="1" t="s">
        <v>4940</v>
      </c>
      <c r="H265" s="1" t="s">
        <v>12</v>
      </c>
      <c r="I265" s="1" t="s">
        <v>4804</v>
      </c>
      <c r="J265" s="5">
        <v>99000</v>
      </c>
      <c r="K265" s="1" t="s">
        <v>3394</v>
      </c>
      <c r="L265" s="5">
        <v>495</v>
      </c>
      <c r="M265" s="1" t="s">
        <v>2308</v>
      </c>
      <c r="N265" s="1" t="s">
        <v>3983</v>
      </c>
      <c r="O265" s="1" t="s">
        <v>2521</v>
      </c>
      <c r="P265" s="1" t="s">
        <v>3956</v>
      </c>
      <c r="Q265" s="1" t="s">
        <v>4805</v>
      </c>
      <c r="R265" s="1" t="s">
        <v>4639</v>
      </c>
      <c r="S265" s="1" t="s">
        <v>4937</v>
      </c>
      <c r="T265" s="6">
        <v>44593</v>
      </c>
      <c r="U265" s="6">
        <v>44599</v>
      </c>
      <c r="V265" s="7">
        <v>0.75</v>
      </c>
      <c r="W265" s="6">
        <v>44603</v>
      </c>
      <c r="X265" s="7">
        <v>0.75</v>
      </c>
      <c r="Y265" s="1" t="s">
        <v>4860</v>
      </c>
      <c r="Z265" s="5">
        <v>340</v>
      </c>
      <c r="AA265" s="1" t="s">
        <v>3403</v>
      </c>
      <c r="AB265" s="1"/>
      <c r="AC265" s="1"/>
      <c r="AD265" s="1"/>
      <c r="AE265" s="1" t="s">
        <v>3736</v>
      </c>
      <c r="AF265" s="1" t="s">
        <v>9</v>
      </c>
      <c r="AG265" s="4">
        <v>1</v>
      </c>
      <c r="AH265" s="1"/>
      <c r="AI265" s="6">
        <v>44926</v>
      </c>
    </row>
    <row r="266" spans="1:35" x14ac:dyDescent="0.3">
      <c r="A266" s="1" t="s">
        <v>2202</v>
      </c>
      <c r="B266" s="2" t="str">
        <f>HYPERLINK("https://my.zakupki.prom.ua/remote/dispatcher/state_purchase_view/34693433")</f>
        <v>https://my.zakupki.prom.ua/remote/dispatcher/state_purchase_view/34693433</v>
      </c>
      <c r="C266" s="1" t="s">
        <v>3598</v>
      </c>
      <c r="D266" s="1" t="s">
        <v>1227</v>
      </c>
      <c r="E266" s="4">
        <v>12</v>
      </c>
      <c r="F266" s="5">
        <v>1750</v>
      </c>
      <c r="G266" s="1" t="s">
        <v>4922</v>
      </c>
      <c r="H266" s="1" t="s">
        <v>153</v>
      </c>
      <c r="I266" s="1" t="s">
        <v>3209</v>
      </c>
      <c r="J266" s="5">
        <v>21000</v>
      </c>
      <c r="K266" s="1" t="s">
        <v>3394</v>
      </c>
      <c r="L266" s="5">
        <v>105</v>
      </c>
      <c r="M266" s="1" t="s">
        <v>2308</v>
      </c>
      <c r="N266" s="1" t="s">
        <v>3983</v>
      </c>
      <c r="O266" s="1" t="s">
        <v>2521</v>
      </c>
      <c r="P266" s="1" t="s">
        <v>3956</v>
      </c>
      <c r="Q266" s="1" t="s">
        <v>2756</v>
      </c>
      <c r="R266" s="1" t="s">
        <v>4461</v>
      </c>
      <c r="S266" s="1" t="s">
        <v>4937</v>
      </c>
      <c r="T266" s="6">
        <v>44593</v>
      </c>
      <c r="U266" s="6">
        <v>44628</v>
      </c>
      <c r="V266" s="7">
        <v>0</v>
      </c>
      <c r="W266" s="6">
        <v>44631</v>
      </c>
      <c r="X266" s="7">
        <v>0.95833333333333337</v>
      </c>
      <c r="Y266" s="1" t="s">
        <v>4860</v>
      </c>
      <c r="Z266" s="5">
        <v>119</v>
      </c>
      <c r="AA266" s="1" t="s">
        <v>3403</v>
      </c>
      <c r="AB266" s="1"/>
      <c r="AC266" s="1"/>
      <c r="AD266" s="1"/>
      <c r="AE266" s="1" t="s">
        <v>3726</v>
      </c>
      <c r="AF266" s="1" t="s">
        <v>9</v>
      </c>
      <c r="AG266" s="4">
        <v>1</v>
      </c>
      <c r="AH266" s="6">
        <v>44621</v>
      </c>
      <c r="AI266" s="6">
        <v>44985</v>
      </c>
    </row>
    <row r="267" spans="1:35" x14ac:dyDescent="0.3">
      <c r="A267" s="1" t="s">
        <v>2201</v>
      </c>
      <c r="B267" s="2" t="str">
        <f>HYPERLINK("https://my.zakupki.prom.ua/remote/dispatcher/state_purchase_view/34693430")</f>
        <v>https://my.zakupki.prom.ua/remote/dispatcher/state_purchase_view/34693430</v>
      </c>
      <c r="C267" s="1" t="s">
        <v>3926</v>
      </c>
      <c r="D267" s="1" t="s">
        <v>467</v>
      </c>
      <c r="E267" s="4">
        <v>941</v>
      </c>
      <c r="F267" s="5">
        <v>100</v>
      </c>
      <c r="G267" s="1" t="s">
        <v>4901</v>
      </c>
      <c r="H267" s="1" t="s">
        <v>185</v>
      </c>
      <c r="I267" s="1" t="s">
        <v>3398</v>
      </c>
      <c r="J267" s="5">
        <v>94100</v>
      </c>
      <c r="K267" s="1" t="s">
        <v>3394</v>
      </c>
      <c r="L267" s="5">
        <v>470.5</v>
      </c>
      <c r="M267" s="1" t="s">
        <v>2308</v>
      </c>
      <c r="N267" s="1" t="s">
        <v>3983</v>
      </c>
      <c r="O267" s="1" t="s">
        <v>2521</v>
      </c>
      <c r="P267" s="1" t="s">
        <v>3956</v>
      </c>
      <c r="Q267" s="1" t="s">
        <v>3426</v>
      </c>
      <c r="R267" s="1" t="s">
        <v>4197</v>
      </c>
      <c r="S267" s="1" t="s">
        <v>4937</v>
      </c>
      <c r="T267" s="6">
        <v>44593</v>
      </c>
      <c r="U267" s="6">
        <v>44599</v>
      </c>
      <c r="V267" s="7">
        <v>0.4375</v>
      </c>
      <c r="W267" s="6">
        <v>44602</v>
      </c>
      <c r="X267" s="7">
        <v>6.25E-2</v>
      </c>
      <c r="Y267" s="1" t="s">
        <v>4860</v>
      </c>
      <c r="Z267" s="5">
        <v>340</v>
      </c>
      <c r="AA267" s="1" t="s">
        <v>3403</v>
      </c>
      <c r="AB267" s="1"/>
      <c r="AC267" s="1"/>
      <c r="AD267" s="1"/>
      <c r="AE267" s="1" t="s">
        <v>3774</v>
      </c>
      <c r="AF267" s="1" t="s">
        <v>9</v>
      </c>
      <c r="AG267" s="1" t="s">
        <v>9</v>
      </c>
      <c r="AH267" s="6">
        <v>44593</v>
      </c>
      <c r="AI267" s="6">
        <v>44926</v>
      </c>
    </row>
    <row r="268" spans="1:35" x14ac:dyDescent="0.3">
      <c r="A268" s="1" t="s">
        <v>2200</v>
      </c>
      <c r="B268" s="2" t="str">
        <f>HYPERLINK("https://my.zakupki.prom.ua/remote/dispatcher/state_purchase_view/34693425")</f>
        <v>https://my.zakupki.prom.ua/remote/dispatcher/state_purchase_view/34693425</v>
      </c>
      <c r="C268" s="1" t="s">
        <v>175</v>
      </c>
      <c r="D268" s="1" t="s">
        <v>174</v>
      </c>
      <c r="E268" s="1" t="s">
        <v>4903</v>
      </c>
      <c r="F268" s="1" t="s">
        <v>4903</v>
      </c>
      <c r="G268" s="1" t="s">
        <v>4903</v>
      </c>
      <c r="H268" s="1" t="s">
        <v>543</v>
      </c>
      <c r="I268" s="1" t="s">
        <v>2996</v>
      </c>
      <c r="J268" s="5">
        <v>82000</v>
      </c>
      <c r="K268" s="1" t="s">
        <v>3394</v>
      </c>
      <c r="L268" s="5">
        <v>820</v>
      </c>
      <c r="M268" s="1" t="s">
        <v>2308</v>
      </c>
      <c r="N268" s="1" t="s">
        <v>3403</v>
      </c>
      <c r="O268" s="1" t="s">
        <v>2521</v>
      </c>
      <c r="P268" s="1" t="s">
        <v>3956</v>
      </c>
      <c r="Q268" s="1" t="s">
        <v>2820</v>
      </c>
      <c r="R268" s="1" t="s">
        <v>4264</v>
      </c>
      <c r="S268" s="1" t="s">
        <v>4937</v>
      </c>
      <c r="T268" s="6">
        <v>44593</v>
      </c>
      <c r="U268" s="6">
        <v>44599</v>
      </c>
      <c r="V268" s="7">
        <v>0.58472222222222225</v>
      </c>
      <c r="W268" s="6">
        <v>44602</v>
      </c>
      <c r="X268" s="7">
        <v>0.375</v>
      </c>
      <c r="Y268" s="1" t="s">
        <v>4860</v>
      </c>
      <c r="Z268" s="5">
        <v>340</v>
      </c>
      <c r="AA268" s="1" t="s">
        <v>3403</v>
      </c>
      <c r="AB268" s="1"/>
      <c r="AC268" s="1"/>
      <c r="AD268" s="1"/>
      <c r="AE268" s="1" t="s">
        <v>3776</v>
      </c>
      <c r="AF268" s="1" t="s">
        <v>9</v>
      </c>
      <c r="AG268" s="4">
        <v>3</v>
      </c>
      <c r="AH268" s="1"/>
      <c r="AI268" s="6">
        <v>44926</v>
      </c>
    </row>
    <row r="269" spans="1:35" x14ac:dyDescent="0.3">
      <c r="A269" s="1" t="s">
        <v>2199</v>
      </c>
      <c r="B269" s="2" t="str">
        <f>HYPERLINK("https://my.zakupki.prom.ua/remote/dispatcher/state_purchase_view/34693410")</f>
        <v>https://my.zakupki.prom.ua/remote/dispatcher/state_purchase_view/34693410</v>
      </c>
      <c r="C269" s="1" t="s">
        <v>3310</v>
      </c>
      <c r="D269" s="1" t="s">
        <v>780</v>
      </c>
      <c r="E269" s="1" t="s">
        <v>4903</v>
      </c>
      <c r="F269" s="1" t="s">
        <v>4903</v>
      </c>
      <c r="G269" s="1" t="s">
        <v>4903</v>
      </c>
      <c r="H269" s="1" t="s">
        <v>89</v>
      </c>
      <c r="I269" s="1" t="s">
        <v>3117</v>
      </c>
      <c r="J269" s="5">
        <v>335480</v>
      </c>
      <c r="K269" s="1" t="s">
        <v>3394</v>
      </c>
      <c r="L269" s="5">
        <v>2012.88</v>
      </c>
      <c r="M269" s="1" t="s">
        <v>2308</v>
      </c>
      <c r="N269" s="1" t="s">
        <v>3983</v>
      </c>
      <c r="O269" s="1" t="s">
        <v>2521</v>
      </c>
      <c r="P269" s="1" t="s">
        <v>2515</v>
      </c>
      <c r="Q269" s="1" t="s">
        <v>3238</v>
      </c>
      <c r="R269" s="1" t="s">
        <v>4699</v>
      </c>
      <c r="S269" s="1" t="s">
        <v>4971</v>
      </c>
      <c r="T269" s="6">
        <v>44593</v>
      </c>
      <c r="U269" s="6">
        <v>44593</v>
      </c>
      <c r="V269" s="7">
        <v>0.58514644383101855</v>
      </c>
      <c r="W269" s="6">
        <v>44609</v>
      </c>
      <c r="X269" s="7">
        <v>0.75</v>
      </c>
      <c r="Y269" s="8">
        <v>44610.522199074076</v>
      </c>
      <c r="Z269" s="5">
        <v>510</v>
      </c>
      <c r="AA269" s="1" t="s">
        <v>3403</v>
      </c>
      <c r="AB269" s="1"/>
      <c r="AC269" s="1"/>
      <c r="AD269" s="1"/>
      <c r="AE269" s="1" t="s">
        <v>3788</v>
      </c>
      <c r="AF269" s="1" t="s">
        <v>9</v>
      </c>
      <c r="AG269" s="4">
        <v>17</v>
      </c>
      <c r="AH269" s="1"/>
      <c r="AI269" s="6">
        <v>44926</v>
      </c>
    </row>
    <row r="270" spans="1:35" x14ac:dyDescent="0.3">
      <c r="A270" s="1" t="s">
        <v>2198</v>
      </c>
      <c r="B270" s="2" t="str">
        <f>HYPERLINK("https://my.zakupki.prom.ua/remote/dispatcher/state_purchase_view/34693405")</f>
        <v>https://my.zakupki.prom.ua/remote/dispatcher/state_purchase_view/34693405</v>
      </c>
      <c r="C270" s="1" t="s">
        <v>4799</v>
      </c>
      <c r="D270" s="1" t="s">
        <v>494</v>
      </c>
      <c r="E270" s="4">
        <v>5500</v>
      </c>
      <c r="F270" s="5">
        <v>20</v>
      </c>
      <c r="G270" s="1" t="s">
        <v>4991</v>
      </c>
      <c r="H270" s="1" t="s">
        <v>99</v>
      </c>
      <c r="I270" s="1" t="s">
        <v>3183</v>
      </c>
      <c r="J270" s="5">
        <v>110000</v>
      </c>
      <c r="K270" s="1" t="s">
        <v>3394</v>
      </c>
      <c r="L270" s="5">
        <v>550</v>
      </c>
      <c r="M270" s="1" t="s">
        <v>2308</v>
      </c>
      <c r="N270" s="1" t="s">
        <v>3983</v>
      </c>
      <c r="O270" s="1" t="s">
        <v>2521</v>
      </c>
      <c r="P270" s="1" t="s">
        <v>3956</v>
      </c>
      <c r="Q270" s="1" t="s">
        <v>3878</v>
      </c>
      <c r="R270" s="1" t="s">
        <v>4559</v>
      </c>
      <c r="S270" s="1" t="s">
        <v>4937</v>
      </c>
      <c r="T270" s="6">
        <v>44593</v>
      </c>
      <c r="U270" s="6">
        <v>44599</v>
      </c>
      <c r="V270" s="7">
        <v>0.66666666666666663</v>
      </c>
      <c r="W270" s="6">
        <v>44603</v>
      </c>
      <c r="X270" s="7">
        <v>0.70833333333333337</v>
      </c>
      <c r="Y270" s="1" t="s">
        <v>4860</v>
      </c>
      <c r="Z270" s="5">
        <v>340</v>
      </c>
      <c r="AA270" s="1" t="s">
        <v>3403</v>
      </c>
      <c r="AB270" s="1"/>
      <c r="AC270" s="1"/>
      <c r="AD270" s="1"/>
      <c r="AE270" s="1" t="s">
        <v>3767</v>
      </c>
      <c r="AF270" s="1" t="s">
        <v>9</v>
      </c>
      <c r="AG270" s="4">
        <v>3</v>
      </c>
      <c r="AH270" s="1"/>
      <c r="AI270" s="6">
        <v>44926</v>
      </c>
    </row>
    <row r="271" spans="1:35" x14ac:dyDescent="0.3">
      <c r="A271" s="1" t="s">
        <v>2197</v>
      </c>
      <c r="B271" s="2" t="str">
        <f>HYPERLINK("https://my.zakupki.prom.ua/remote/dispatcher/state_purchase_view/34692792")</f>
        <v>https://my.zakupki.prom.ua/remote/dispatcher/state_purchase_view/34692792</v>
      </c>
      <c r="C271" s="1" t="s">
        <v>4806</v>
      </c>
      <c r="D271" s="1" t="s">
        <v>965</v>
      </c>
      <c r="E271" s="1" t="s">
        <v>4903</v>
      </c>
      <c r="F271" s="1" t="s">
        <v>4903</v>
      </c>
      <c r="G271" s="1" t="s">
        <v>4903</v>
      </c>
      <c r="H271" s="1" t="s">
        <v>984</v>
      </c>
      <c r="I271" s="1" t="s">
        <v>3113</v>
      </c>
      <c r="J271" s="5">
        <v>80000</v>
      </c>
      <c r="K271" s="1" t="s">
        <v>3394</v>
      </c>
      <c r="L271" s="5">
        <v>400</v>
      </c>
      <c r="M271" s="1" t="s">
        <v>2308</v>
      </c>
      <c r="N271" s="1" t="s">
        <v>3983</v>
      </c>
      <c r="O271" s="1" t="s">
        <v>2521</v>
      </c>
      <c r="P271" s="1" t="s">
        <v>3956</v>
      </c>
      <c r="Q271" s="1" t="s">
        <v>2796</v>
      </c>
      <c r="R271" s="1" t="s">
        <v>4289</v>
      </c>
      <c r="S271" s="1" t="s">
        <v>4937</v>
      </c>
      <c r="T271" s="6">
        <v>44593</v>
      </c>
      <c r="U271" s="6">
        <v>44599</v>
      </c>
      <c r="V271" s="7">
        <v>0</v>
      </c>
      <c r="W271" s="6">
        <v>44602</v>
      </c>
      <c r="X271" s="7">
        <v>0</v>
      </c>
      <c r="Y271" s="1" t="s">
        <v>4860</v>
      </c>
      <c r="Z271" s="5">
        <v>340</v>
      </c>
      <c r="AA271" s="1" t="s">
        <v>3403</v>
      </c>
      <c r="AB271" s="1"/>
      <c r="AC271" s="1"/>
      <c r="AD271" s="1"/>
      <c r="AE271" s="1" t="s">
        <v>3776</v>
      </c>
      <c r="AF271" s="1" t="s">
        <v>9</v>
      </c>
      <c r="AG271" s="4">
        <v>8</v>
      </c>
      <c r="AH271" s="1"/>
      <c r="AI271" s="6">
        <v>44651</v>
      </c>
    </row>
    <row r="272" spans="1:35" x14ac:dyDescent="0.3">
      <c r="A272" s="1" t="s">
        <v>2196</v>
      </c>
      <c r="B272" s="2" t="str">
        <f>HYPERLINK("https://my.zakupki.prom.ua/remote/dispatcher/state_purchase_view/34693398")</f>
        <v>https://my.zakupki.prom.ua/remote/dispatcher/state_purchase_view/34693398</v>
      </c>
      <c r="C272" s="1" t="s">
        <v>2374</v>
      </c>
      <c r="D272" s="1" t="s">
        <v>621</v>
      </c>
      <c r="E272" s="1" t="s">
        <v>4903</v>
      </c>
      <c r="F272" s="1" t="s">
        <v>4903</v>
      </c>
      <c r="G272" s="1" t="s">
        <v>4903</v>
      </c>
      <c r="H272" s="1" t="s">
        <v>550</v>
      </c>
      <c r="I272" s="1" t="s">
        <v>3084</v>
      </c>
      <c r="J272" s="5">
        <v>331000</v>
      </c>
      <c r="K272" s="1" t="s">
        <v>3394</v>
      </c>
      <c r="L272" s="5">
        <v>1655</v>
      </c>
      <c r="M272" s="1" t="s">
        <v>2308</v>
      </c>
      <c r="N272" s="1" t="s">
        <v>3983</v>
      </c>
      <c r="O272" s="1" t="s">
        <v>2521</v>
      </c>
      <c r="P272" s="1" t="s">
        <v>2515</v>
      </c>
      <c r="Q272" s="1" t="s">
        <v>3238</v>
      </c>
      <c r="R272" s="1" t="s">
        <v>4513</v>
      </c>
      <c r="S272" s="1" t="s">
        <v>4971</v>
      </c>
      <c r="T272" s="6">
        <v>44593</v>
      </c>
      <c r="U272" s="6">
        <v>44593</v>
      </c>
      <c r="V272" s="7">
        <v>0.58497874649305559</v>
      </c>
      <c r="W272" s="6">
        <v>44609</v>
      </c>
      <c r="X272" s="7">
        <v>0</v>
      </c>
      <c r="Y272" s="8">
        <v>44609.646736111114</v>
      </c>
      <c r="Z272" s="5">
        <v>510</v>
      </c>
      <c r="AA272" s="1" t="s">
        <v>3403</v>
      </c>
      <c r="AB272" s="1"/>
      <c r="AC272" s="1"/>
      <c r="AD272" s="1"/>
      <c r="AE272" s="1" t="s">
        <v>3765</v>
      </c>
      <c r="AF272" s="1" t="s">
        <v>9</v>
      </c>
      <c r="AG272" s="1" t="s">
        <v>9</v>
      </c>
      <c r="AH272" s="1"/>
      <c r="AI272" s="6">
        <v>44926</v>
      </c>
    </row>
    <row r="273" spans="1:35" x14ac:dyDescent="0.3">
      <c r="A273" s="1" t="s">
        <v>2195</v>
      </c>
      <c r="B273" s="2" t="str">
        <f>HYPERLINK("https://my.zakupki.prom.ua/remote/dispatcher/state_purchase_view/34693390")</f>
        <v>https://my.zakupki.prom.ua/remote/dispatcher/state_purchase_view/34693390</v>
      </c>
      <c r="C273" s="1" t="s">
        <v>3854</v>
      </c>
      <c r="D273" s="1" t="s">
        <v>453</v>
      </c>
      <c r="E273" s="4">
        <v>1898</v>
      </c>
      <c r="F273" s="5">
        <v>88.3</v>
      </c>
      <c r="G273" s="1" t="s">
        <v>4901</v>
      </c>
      <c r="H273" s="1" t="s">
        <v>661</v>
      </c>
      <c r="I273" s="1" t="s">
        <v>3077</v>
      </c>
      <c r="J273" s="5">
        <v>167587.20000000001</v>
      </c>
      <c r="K273" s="1" t="s">
        <v>3394</v>
      </c>
      <c r="L273" s="5">
        <v>837.94</v>
      </c>
      <c r="M273" s="1" t="s">
        <v>2308</v>
      </c>
      <c r="N273" s="1" t="s">
        <v>3983</v>
      </c>
      <c r="O273" s="1" t="s">
        <v>2521</v>
      </c>
      <c r="P273" s="1" t="s">
        <v>3956</v>
      </c>
      <c r="Q273" s="1" t="s">
        <v>3426</v>
      </c>
      <c r="R273" s="1" t="s">
        <v>4438</v>
      </c>
      <c r="S273" s="1" t="s">
        <v>4937</v>
      </c>
      <c r="T273" s="6">
        <v>44593</v>
      </c>
      <c r="U273" s="6">
        <v>44600</v>
      </c>
      <c r="V273" s="7">
        <v>0.58263888888888893</v>
      </c>
      <c r="W273" s="6">
        <v>44603</v>
      </c>
      <c r="X273" s="7">
        <v>0.58333333333333337</v>
      </c>
      <c r="Y273" s="1" t="s">
        <v>4860</v>
      </c>
      <c r="Z273" s="5">
        <v>340</v>
      </c>
      <c r="AA273" s="1" t="s">
        <v>3403</v>
      </c>
      <c r="AB273" s="1"/>
      <c r="AC273" s="1"/>
      <c r="AD273" s="1"/>
      <c r="AE273" s="1" t="s">
        <v>3765</v>
      </c>
      <c r="AF273" s="1" t="s">
        <v>9</v>
      </c>
      <c r="AG273" s="1" t="s">
        <v>9</v>
      </c>
      <c r="AH273" s="1"/>
      <c r="AI273" s="6">
        <v>44926</v>
      </c>
    </row>
    <row r="274" spans="1:35" x14ac:dyDescent="0.3">
      <c r="A274" s="1" t="s">
        <v>2194</v>
      </c>
      <c r="B274" s="2" t="str">
        <f>HYPERLINK("https://my.zakupki.prom.ua/remote/dispatcher/state_purchase_view/34693379")</f>
        <v>https://my.zakupki.prom.ua/remote/dispatcher/state_purchase_view/34693379</v>
      </c>
      <c r="C274" s="1" t="s">
        <v>3303</v>
      </c>
      <c r="D274" s="1" t="s">
        <v>384</v>
      </c>
      <c r="E274" s="1" t="s">
        <v>4903</v>
      </c>
      <c r="F274" s="1" t="s">
        <v>4903</v>
      </c>
      <c r="G274" s="1" t="s">
        <v>4903</v>
      </c>
      <c r="H274" s="1" t="s">
        <v>324</v>
      </c>
      <c r="I274" s="1" t="s">
        <v>2346</v>
      </c>
      <c r="J274" s="5">
        <v>4350000</v>
      </c>
      <c r="K274" s="1" t="s">
        <v>3394</v>
      </c>
      <c r="L274" s="5">
        <v>22000</v>
      </c>
      <c r="M274" s="1" t="s">
        <v>2308</v>
      </c>
      <c r="N274" s="1" t="s">
        <v>3983</v>
      </c>
      <c r="O274" s="1" t="s">
        <v>401</v>
      </c>
      <c r="P274" s="1" t="s">
        <v>2516</v>
      </c>
      <c r="Q274" s="1" t="s">
        <v>4798</v>
      </c>
      <c r="R274" s="1" t="s">
        <v>4713</v>
      </c>
      <c r="S274" s="1" t="s">
        <v>4971</v>
      </c>
      <c r="T274" s="6">
        <v>44593</v>
      </c>
      <c r="U274" s="6">
        <v>44593</v>
      </c>
      <c r="V274" s="7">
        <v>0.58453468240740747</v>
      </c>
      <c r="W274" s="6">
        <v>44624</v>
      </c>
      <c r="X274" s="7">
        <v>0.45833333333333331</v>
      </c>
      <c r="Y274" s="8">
        <v>44662.501666666663</v>
      </c>
      <c r="Z274" s="5">
        <v>3400</v>
      </c>
      <c r="AA274" s="1" t="s">
        <v>3403</v>
      </c>
      <c r="AB274" s="1"/>
      <c r="AC274" s="1"/>
      <c r="AD274" s="1"/>
      <c r="AE274" s="1" t="s">
        <v>3806</v>
      </c>
      <c r="AF274" s="1" t="s">
        <v>9</v>
      </c>
      <c r="AG274" s="4">
        <v>17</v>
      </c>
      <c r="AH274" s="6">
        <v>44657</v>
      </c>
      <c r="AI274" s="6">
        <v>44926</v>
      </c>
    </row>
    <row r="275" spans="1:35" x14ac:dyDescent="0.3">
      <c r="A275" s="1" t="s">
        <v>2193</v>
      </c>
      <c r="B275" s="2" t="str">
        <f>HYPERLINK("https://my.zakupki.prom.ua/remote/dispatcher/state_purchase_view/34693366")</f>
        <v>https://my.zakupki.prom.ua/remote/dispatcher/state_purchase_view/34693366</v>
      </c>
      <c r="C275" s="1" t="s">
        <v>2815</v>
      </c>
      <c r="D275" s="1" t="s">
        <v>764</v>
      </c>
      <c r="E275" s="1" t="s">
        <v>4903</v>
      </c>
      <c r="F275" s="1" t="s">
        <v>4903</v>
      </c>
      <c r="G275" s="1" t="s">
        <v>4903</v>
      </c>
      <c r="H275" s="1" t="s">
        <v>72</v>
      </c>
      <c r="I275" s="1" t="s">
        <v>2890</v>
      </c>
      <c r="J275" s="5">
        <v>48000</v>
      </c>
      <c r="K275" s="1" t="s">
        <v>3394</v>
      </c>
      <c r="L275" s="5">
        <v>480</v>
      </c>
      <c r="M275" s="1" t="s">
        <v>2308</v>
      </c>
      <c r="N275" s="1" t="s">
        <v>3403</v>
      </c>
      <c r="O275" s="1" t="s">
        <v>2521</v>
      </c>
      <c r="P275" s="1" t="s">
        <v>3956</v>
      </c>
      <c r="Q275" s="1" t="s">
        <v>2796</v>
      </c>
      <c r="R275" s="1" t="s">
        <v>4574</v>
      </c>
      <c r="S275" s="1" t="s">
        <v>4937</v>
      </c>
      <c r="T275" s="6">
        <v>44593</v>
      </c>
      <c r="U275" s="6">
        <v>44599</v>
      </c>
      <c r="V275" s="7">
        <v>0</v>
      </c>
      <c r="W275" s="6">
        <v>44602</v>
      </c>
      <c r="X275" s="7">
        <v>0</v>
      </c>
      <c r="Y275" s="1" t="s">
        <v>4860</v>
      </c>
      <c r="Z275" s="5">
        <v>119</v>
      </c>
      <c r="AA275" s="1" t="s">
        <v>3403</v>
      </c>
      <c r="AB275" s="1"/>
      <c r="AC275" s="1"/>
      <c r="AD275" s="1"/>
      <c r="AE275" s="1" t="s">
        <v>3775</v>
      </c>
      <c r="AF275" s="1" t="s">
        <v>9</v>
      </c>
      <c r="AG275" s="4">
        <v>10</v>
      </c>
      <c r="AH275" s="1"/>
      <c r="AI275" s="6">
        <v>44610</v>
      </c>
    </row>
    <row r="276" spans="1:35" x14ac:dyDescent="0.3">
      <c r="A276" s="1" t="s">
        <v>2192</v>
      </c>
      <c r="B276" s="2" t="str">
        <f>HYPERLINK("https://my.zakupki.prom.ua/remote/dispatcher/state_purchase_view/34692713")</f>
        <v>https://my.zakupki.prom.ua/remote/dispatcher/state_purchase_view/34692713</v>
      </c>
      <c r="C276" s="1" t="s">
        <v>4925</v>
      </c>
      <c r="D276" s="1" t="s">
        <v>373</v>
      </c>
      <c r="E276" s="1" t="s">
        <v>4903</v>
      </c>
      <c r="F276" s="1" t="s">
        <v>4903</v>
      </c>
      <c r="G276" s="1" t="s">
        <v>4903</v>
      </c>
      <c r="H276" s="1" t="s">
        <v>1081</v>
      </c>
      <c r="I276" s="1" t="s">
        <v>2426</v>
      </c>
      <c r="J276" s="5">
        <v>342000</v>
      </c>
      <c r="K276" s="1" t="s">
        <v>3394</v>
      </c>
      <c r="L276" s="5">
        <v>1710</v>
      </c>
      <c r="M276" s="1" t="s">
        <v>2308</v>
      </c>
      <c r="N276" s="1" t="s">
        <v>3983</v>
      </c>
      <c r="O276" s="1" t="s">
        <v>2521</v>
      </c>
      <c r="P276" s="1" t="s">
        <v>2515</v>
      </c>
      <c r="Q276" s="1" t="s">
        <v>3262</v>
      </c>
      <c r="R276" s="1" t="s">
        <v>4037</v>
      </c>
      <c r="S276" s="1" t="s">
        <v>4971</v>
      </c>
      <c r="T276" s="6">
        <v>44593</v>
      </c>
      <c r="U276" s="6">
        <v>44593</v>
      </c>
      <c r="V276" s="7">
        <v>0.58399289506944441</v>
      </c>
      <c r="W276" s="6">
        <v>44609</v>
      </c>
      <c r="X276" s="7">
        <v>0.33333333333333331</v>
      </c>
      <c r="Y276" s="8">
        <v>44610.651296296295</v>
      </c>
      <c r="Z276" s="5">
        <v>510</v>
      </c>
      <c r="AA276" s="1" t="s">
        <v>3403</v>
      </c>
      <c r="AB276" s="1"/>
      <c r="AC276" s="1"/>
      <c r="AD276" s="1"/>
      <c r="AE276" s="1" t="s">
        <v>3788</v>
      </c>
      <c r="AF276" s="1" t="s">
        <v>9</v>
      </c>
      <c r="AG276" s="1" t="s">
        <v>9</v>
      </c>
      <c r="AH276" s="1"/>
      <c r="AI276" s="6">
        <v>44926</v>
      </c>
    </row>
    <row r="277" spans="1:35" x14ac:dyDescent="0.3">
      <c r="A277" s="1" t="s">
        <v>2191</v>
      </c>
      <c r="B277" s="2" t="str">
        <f>HYPERLINK("https://my.zakupki.prom.ua/remote/dispatcher/state_purchase_view/34693316")</f>
        <v>https://my.zakupki.prom.ua/remote/dispatcher/state_purchase_view/34693316</v>
      </c>
      <c r="C277" s="1" t="s">
        <v>4872</v>
      </c>
      <c r="D277" s="1" t="s">
        <v>371</v>
      </c>
      <c r="E277" s="4">
        <v>5038</v>
      </c>
      <c r="F277" s="5">
        <v>19.850000000000001</v>
      </c>
      <c r="G277" s="1" t="s">
        <v>4908</v>
      </c>
      <c r="H277" s="1" t="s">
        <v>241</v>
      </c>
      <c r="I277" s="1" t="s">
        <v>3454</v>
      </c>
      <c r="J277" s="5">
        <v>100000</v>
      </c>
      <c r="K277" s="1" t="s">
        <v>3394</v>
      </c>
      <c r="L277" s="5">
        <v>500</v>
      </c>
      <c r="M277" s="1" t="s">
        <v>2308</v>
      </c>
      <c r="N277" s="1" t="s">
        <v>3983</v>
      </c>
      <c r="O277" s="1" t="s">
        <v>2521</v>
      </c>
      <c r="P277" s="1" t="s">
        <v>3956</v>
      </c>
      <c r="Q277" s="1" t="s">
        <v>3504</v>
      </c>
      <c r="R277" s="1" t="s">
        <v>4081</v>
      </c>
      <c r="S277" s="1" t="s">
        <v>4937</v>
      </c>
      <c r="T277" s="6">
        <v>44593</v>
      </c>
      <c r="U277" s="6">
        <v>44599</v>
      </c>
      <c r="V277" s="7">
        <v>0.45833333333333331</v>
      </c>
      <c r="W277" s="6">
        <v>44602</v>
      </c>
      <c r="X277" s="7">
        <v>0.66666666666666663</v>
      </c>
      <c r="Y277" s="1" t="s">
        <v>4860</v>
      </c>
      <c r="Z277" s="5">
        <v>340</v>
      </c>
      <c r="AA277" s="1" t="s">
        <v>3403</v>
      </c>
      <c r="AB277" s="1"/>
      <c r="AC277" s="1"/>
      <c r="AD277" s="1"/>
      <c r="AE277" s="1" t="s">
        <v>3765</v>
      </c>
      <c r="AF277" s="1" t="s">
        <v>9</v>
      </c>
      <c r="AG277" s="4">
        <v>10</v>
      </c>
      <c r="AH277" s="1"/>
      <c r="AI277" s="6">
        <v>44926</v>
      </c>
    </row>
    <row r="278" spans="1:35" x14ac:dyDescent="0.3">
      <c r="A278" s="1" t="s">
        <v>1777</v>
      </c>
      <c r="B278" s="2" t="str">
        <f>HYPERLINK("https://my.zakupki.prom.ua/remote/dispatcher/state_purchase_view/34693165")</f>
        <v>https://my.zakupki.prom.ua/remote/dispatcher/state_purchase_view/34693165</v>
      </c>
      <c r="C278" s="1" t="s">
        <v>3411</v>
      </c>
      <c r="D278" s="1" t="s">
        <v>1233</v>
      </c>
      <c r="E278" s="4">
        <v>4</v>
      </c>
      <c r="F278" s="5">
        <v>10500</v>
      </c>
      <c r="G278" s="1" t="s">
        <v>4940</v>
      </c>
      <c r="H278" s="1" t="s">
        <v>149</v>
      </c>
      <c r="I278" s="1" t="s">
        <v>2713</v>
      </c>
      <c r="J278" s="5">
        <v>42000</v>
      </c>
      <c r="K278" s="1" t="s">
        <v>3394</v>
      </c>
      <c r="L278" s="5">
        <v>210</v>
      </c>
      <c r="M278" s="1" t="s">
        <v>2308</v>
      </c>
      <c r="N278" s="1" t="s">
        <v>3983</v>
      </c>
      <c r="O278" s="1" t="s">
        <v>2521</v>
      </c>
      <c r="P278" s="1" t="s">
        <v>2515</v>
      </c>
      <c r="Q278" s="1" t="s">
        <v>4805</v>
      </c>
      <c r="R278" s="1" t="s">
        <v>4081</v>
      </c>
      <c r="S278" s="1" t="s">
        <v>4971</v>
      </c>
      <c r="T278" s="6">
        <v>44593</v>
      </c>
      <c r="U278" s="6">
        <v>44593</v>
      </c>
      <c r="V278" s="7">
        <v>0.57750467013888884</v>
      </c>
      <c r="W278" s="6">
        <v>44609</v>
      </c>
      <c r="X278" s="7">
        <v>0</v>
      </c>
      <c r="Y278" s="8">
        <v>44609.572627314818</v>
      </c>
      <c r="Z278" s="5">
        <v>119</v>
      </c>
      <c r="AA278" s="1" t="s">
        <v>3403</v>
      </c>
      <c r="AB278" s="1"/>
      <c r="AC278" s="1"/>
      <c r="AD278" s="1"/>
      <c r="AE278" s="1" t="s">
        <v>3750</v>
      </c>
      <c r="AF278" s="1" t="s">
        <v>9</v>
      </c>
      <c r="AG278" s="4">
        <v>22</v>
      </c>
      <c r="AH278" s="1"/>
      <c r="AI278" s="6">
        <v>44926</v>
      </c>
    </row>
    <row r="279" spans="1:35" x14ac:dyDescent="0.3">
      <c r="A279" s="1" t="s">
        <v>1490</v>
      </c>
      <c r="B279" s="2" t="str">
        <f>HYPERLINK("https://my.zakupki.prom.ua/remote/dispatcher/state_purchase_view/34693161")</f>
        <v>https://my.zakupki.prom.ua/remote/dispatcher/state_purchase_view/34693161</v>
      </c>
      <c r="C279" s="1" t="s">
        <v>3323</v>
      </c>
      <c r="D279" s="1" t="s">
        <v>827</v>
      </c>
      <c r="E279" s="4">
        <v>320</v>
      </c>
      <c r="F279" s="5">
        <v>621.88</v>
      </c>
      <c r="G279" s="1" t="s">
        <v>4991</v>
      </c>
      <c r="H279" s="1" t="s">
        <v>256</v>
      </c>
      <c r="I279" s="1" t="s">
        <v>2380</v>
      </c>
      <c r="J279" s="5">
        <v>199000</v>
      </c>
      <c r="K279" s="1" t="s">
        <v>3394</v>
      </c>
      <c r="L279" s="5">
        <v>995</v>
      </c>
      <c r="M279" s="1" t="s">
        <v>2308</v>
      </c>
      <c r="N279" s="1" t="s">
        <v>3403</v>
      </c>
      <c r="O279" s="1" t="s">
        <v>2521</v>
      </c>
      <c r="P279" s="1" t="s">
        <v>3956</v>
      </c>
      <c r="Q279" s="1" t="s">
        <v>4834</v>
      </c>
      <c r="R279" s="1" t="s">
        <v>4201</v>
      </c>
      <c r="S279" s="1" t="s">
        <v>4937</v>
      </c>
      <c r="T279" s="6">
        <v>44593</v>
      </c>
      <c r="U279" s="6">
        <v>44599</v>
      </c>
      <c r="V279" s="7">
        <v>0.45833333333333331</v>
      </c>
      <c r="W279" s="6">
        <v>44602</v>
      </c>
      <c r="X279" s="7">
        <v>0</v>
      </c>
      <c r="Y279" s="1" t="s">
        <v>4860</v>
      </c>
      <c r="Z279" s="5">
        <v>340</v>
      </c>
      <c r="AA279" s="1" t="s">
        <v>3403</v>
      </c>
      <c r="AB279" s="1"/>
      <c r="AC279" s="1"/>
      <c r="AD279" s="1"/>
      <c r="AE279" s="1" t="s">
        <v>3787</v>
      </c>
      <c r="AF279" s="1" t="s">
        <v>9</v>
      </c>
      <c r="AG279" s="4">
        <v>4</v>
      </c>
      <c r="AH279" s="6">
        <v>44613</v>
      </c>
      <c r="AI279" s="6">
        <v>44620</v>
      </c>
    </row>
    <row r="280" spans="1:35" x14ac:dyDescent="0.3">
      <c r="A280" s="1" t="s">
        <v>1773</v>
      </c>
      <c r="B280" s="2" t="str">
        <f>HYPERLINK("https://my.zakupki.prom.ua/remote/dispatcher/state_purchase_view/34693135")</f>
        <v>https://my.zakupki.prom.ua/remote/dispatcher/state_purchase_view/34693135</v>
      </c>
      <c r="C280" s="1" t="s">
        <v>3345</v>
      </c>
      <c r="D280" s="1" t="s">
        <v>221</v>
      </c>
      <c r="E280" s="1" t="s">
        <v>4903</v>
      </c>
      <c r="F280" s="1" t="s">
        <v>4903</v>
      </c>
      <c r="G280" s="1" t="s">
        <v>4903</v>
      </c>
      <c r="H280" s="1" t="s">
        <v>589</v>
      </c>
      <c r="I280" s="1" t="s">
        <v>4791</v>
      </c>
      <c r="J280" s="5">
        <v>302060</v>
      </c>
      <c r="K280" s="1" t="s">
        <v>3394</v>
      </c>
      <c r="L280" s="5">
        <v>1510.3</v>
      </c>
      <c r="M280" s="1" t="s">
        <v>2308</v>
      </c>
      <c r="N280" s="1" t="s">
        <v>3983</v>
      </c>
      <c r="O280" s="1" t="s">
        <v>2521</v>
      </c>
      <c r="P280" s="1" t="s">
        <v>2515</v>
      </c>
      <c r="Q280" s="1" t="s">
        <v>4805</v>
      </c>
      <c r="R280" s="1" t="s">
        <v>4241</v>
      </c>
      <c r="S280" s="1" t="s">
        <v>4971</v>
      </c>
      <c r="T280" s="6">
        <v>44593</v>
      </c>
      <c r="U280" s="6">
        <v>44593</v>
      </c>
      <c r="V280" s="7">
        <v>0.57644170810185191</v>
      </c>
      <c r="W280" s="6">
        <v>44609</v>
      </c>
      <c r="X280" s="7">
        <v>0.625</v>
      </c>
      <c r="Y280" s="8">
        <v>44610.585868055554</v>
      </c>
      <c r="Z280" s="5">
        <v>510</v>
      </c>
      <c r="AA280" s="1" t="s">
        <v>3403</v>
      </c>
      <c r="AB280" s="1"/>
      <c r="AC280" s="1"/>
      <c r="AD280" s="1"/>
      <c r="AE280" s="1" t="s">
        <v>3788</v>
      </c>
      <c r="AF280" s="1" t="s">
        <v>9</v>
      </c>
      <c r="AG280" s="1" t="s">
        <v>9</v>
      </c>
      <c r="AH280" s="1"/>
      <c r="AI280" s="6">
        <v>44926</v>
      </c>
    </row>
    <row r="281" spans="1:35" x14ac:dyDescent="0.3">
      <c r="A281" s="1" t="s">
        <v>1797</v>
      </c>
      <c r="B281" s="2" t="str">
        <f>HYPERLINK("https://my.zakupki.prom.ua/remote/dispatcher/state_purchase_view/34693071")</f>
        <v>https://my.zakupki.prom.ua/remote/dispatcher/state_purchase_view/34693071</v>
      </c>
      <c r="C281" s="1" t="s">
        <v>3632</v>
      </c>
      <c r="D281" s="1" t="s">
        <v>1227</v>
      </c>
      <c r="E281" s="4">
        <v>11</v>
      </c>
      <c r="F281" s="5">
        <v>5527.27</v>
      </c>
      <c r="G281" s="1" t="s">
        <v>4922</v>
      </c>
      <c r="H281" s="1" t="s">
        <v>663</v>
      </c>
      <c r="I281" s="1" t="s">
        <v>3111</v>
      </c>
      <c r="J281" s="5">
        <v>60800</v>
      </c>
      <c r="K281" s="1" t="s">
        <v>3394</v>
      </c>
      <c r="L281" s="5">
        <v>304</v>
      </c>
      <c r="M281" s="1" t="s">
        <v>2308</v>
      </c>
      <c r="N281" s="1" t="s">
        <v>3983</v>
      </c>
      <c r="O281" s="1" t="s">
        <v>2521</v>
      </c>
      <c r="P281" s="1" t="s">
        <v>3956</v>
      </c>
      <c r="Q281" s="1" t="s">
        <v>3035</v>
      </c>
      <c r="R281" s="1" t="s">
        <v>4193</v>
      </c>
      <c r="S281" s="1" t="s">
        <v>4937</v>
      </c>
      <c r="T281" s="6">
        <v>44593</v>
      </c>
      <c r="U281" s="6">
        <v>44599</v>
      </c>
      <c r="V281" s="7">
        <v>0</v>
      </c>
      <c r="W281" s="6">
        <v>44602</v>
      </c>
      <c r="X281" s="7">
        <v>0</v>
      </c>
      <c r="Y281" s="1" t="s">
        <v>4860</v>
      </c>
      <c r="Z281" s="5">
        <v>340</v>
      </c>
      <c r="AA281" s="1" t="s">
        <v>3403</v>
      </c>
      <c r="AB281" s="1"/>
      <c r="AC281" s="1"/>
      <c r="AD281" s="1"/>
      <c r="AE281" s="1" t="s">
        <v>3754</v>
      </c>
      <c r="AF281" s="1" t="s">
        <v>9</v>
      </c>
      <c r="AG281" s="4">
        <v>5</v>
      </c>
      <c r="AH281" s="1"/>
      <c r="AI281" s="6">
        <v>44926</v>
      </c>
    </row>
    <row r="282" spans="1:35" x14ac:dyDescent="0.3">
      <c r="A282" s="1" t="s">
        <v>2190</v>
      </c>
      <c r="B282" s="2" t="str">
        <f>HYPERLINK("https://my.zakupki.prom.ua/remote/dispatcher/state_purchase_view/34693044")</f>
        <v>https://my.zakupki.prom.ua/remote/dispatcher/state_purchase_view/34693044</v>
      </c>
      <c r="C282" s="1" t="s">
        <v>3573</v>
      </c>
      <c r="D282" s="1" t="s">
        <v>1176</v>
      </c>
      <c r="E282" s="4">
        <v>1</v>
      </c>
      <c r="F282" s="5">
        <v>2900000</v>
      </c>
      <c r="G282" s="1" t="s">
        <v>4940</v>
      </c>
      <c r="H282" s="1" t="s">
        <v>249</v>
      </c>
      <c r="I282" s="1" t="s">
        <v>2974</v>
      </c>
      <c r="J282" s="5">
        <v>2900000</v>
      </c>
      <c r="K282" s="1" t="s">
        <v>3394</v>
      </c>
      <c r="L282" s="5">
        <v>29000</v>
      </c>
      <c r="M282" s="1" t="s">
        <v>2308</v>
      </c>
      <c r="N282" s="1" t="s">
        <v>3983</v>
      </c>
      <c r="O282" s="1" t="s">
        <v>690</v>
      </c>
      <c r="P282" s="1" t="s">
        <v>2515</v>
      </c>
      <c r="Q282" s="1" t="s">
        <v>2796</v>
      </c>
      <c r="R282" s="1" t="s">
        <v>4081</v>
      </c>
      <c r="S282" s="1" t="s">
        <v>4971</v>
      </c>
      <c r="T282" s="6">
        <v>44593</v>
      </c>
      <c r="U282" s="6">
        <v>44593</v>
      </c>
      <c r="V282" s="7">
        <v>0.58339284928240742</v>
      </c>
      <c r="W282" s="6">
        <v>44613</v>
      </c>
      <c r="X282" s="7">
        <v>0.41666666666666669</v>
      </c>
      <c r="Y282" s="8">
        <v>44614.514907407407</v>
      </c>
      <c r="Z282" s="5">
        <v>1700</v>
      </c>
      <c r="AA282" s="1" t="s">
        <v>3403</v>
      </c>
      <c r="AB282" s="1"/>
      <c r="AC282" s="1"/>
      <c r="AD282" s="1"/>
      <c r="AE282" s="1" t="s">
        <v>3750</v>
      </c>
      <c r="AF282" s="1" t="s">
        <v>9</v>
      </c>
      <c r="AG282" s="4">
        <v>16</v>
      </c>
      <c r="AH282" s="1"/>
      <c r="AI282" s="6">
        <v>44926</v>
      </c>
    </row>
    <row r="283" spans="1:35" x14ac:dyDescent="0.3">
      <c r="A283" s="1" t="s">
        <v>1793</v>
      </c>
      <c r="B283" s="2" t="str">
        <f>HYPERLINK("https://my.zakupki.prom.ua/remote/dispatcher/state_purchase_view/34693029")</f>
        <v>https://my.zakupki.prom.ua/remote/dispatcher/state_purchase_view/34693029</v>
      </c>
      <c r="C283" s="1" t="s">
        <v>3507</v>
      </c>
      <c r="D283" s="1" t="s">
        <v>1162</v>
      </c>
      <c r="E283" s="4">
        <v>1</v>
      </c>
      <c r="F283" s="5">
        <v>120000</v>
      </c>
      <c r="G283" s="1" t="s">
        <v>4940</v>
      </c>
      <c r="H283" s="1" t="s">
        <v>615</v>
      </c>
      <c r="I283" s="1" t="s">
        <v>2715</v>
      </c>
      <c r="J283" s="5">
        <v>120000</v>
      </c>
      <c r="K283" s="1" t="s">
        <v>3394</v>
      </c>
      <c r="L283" s="5">
        <v>600</v>
      </c>
      <c r="M283" s="1" t="s">
        <v>2308</v>
      </c>
      <c r="N283" s="1" t="s">
        <v>3983</v>
      </c>
      <c r="O283" s="1" t="s">
        <v>2521</v>
      </c>
      <c r="P283" s="1" t="s">
        <v>3956</v>
      </c>
      <c r="Q283" s="1" t="s">
        <v>3035</v>
      </c>
      <c r="R283" s="1" t="s">
        <v>4184</v>
      </c>
      <c r="S283" s="1" t="s">
        <v>4937</v>
      </c>
      <c r="T283" s="6">
        <v>44593</v>
      </c>
      <c r="U283" s="6">
        <v>44599</v>
      </c>
      <c r="V283" s="7">
        <v>0.375</v>
      </c>
      <c r="W283" s="6">
        <v>44602</v>
      </c>
      <c r="X283" s="7">
        <v>0.375</v>
      </c>
      <c r="Y283" s="1" t="s">
        <v>4860</v>
      </c>
      <c r="Z283" s="5">
        <v>340</v>
      </c>
      <c r="AA283" s="1" t="s">
        <v>3403</v>
      </c>
      <c r="AB283" s="1"/>
      <c r="AC283" s="1"/>
      <c r="AD283" s="1"/>
      <c r="AE283" s="1" t="s">
        <v>3727</v>
      </c>
      <c r="AF283" s="1" t="s">
        <v>9</v>
      </c>
      <c r="AG283" s="4">
        <v>2</v>
      </c>
      <c r="AH283" s="1"/>
      <c r="AI283" s="6">
        <v>44926</v>
      </c>
    </row>
    <row r="284" spans="1:35" x14ac:dyDescent="0.3">
      <c r="A284" s="1" t="s">
        <v>2189</v>
      </c>
      <c r="B284" s="2" t="str">
        <f>HYPERLINK("https://my.zakupki.prom.ua/remote/dispatcher/state_purchase_view/34692622")</f>
        <v>https://my.zakupki.prom.ua/remote/dispatcher/state_purchase_view/34692622</v>
      </c>
      <c r="C284" s="1" t="s">
        <v>3488</v>
      </c>
      <c r="D284" s="1" t="s">
        <v>1240</v>
      </c>
      <c r="E284" s="4">
        <v>1</v>
      </c>
      <c r="F284" s="5">
        <v>112000</v>
      </c>
      <c r="G284" s="1" t="s">
        <v>4940</v>
      </c>
      <c r="H284" s="1" t="s">
        <v>76</v>
      </c>
      <c r="I284" s="1" t="s">
        <v>3130</v>
      </c>
      <c r="J284" s="5">
        <v>112000</v>
      </c>
      <c r="K284" s="1" t="s">
        <v>3394</v>
      </c>
      <c r="L284" s="5">
        <v>560</v>
      </c>
      <c r="M284" s="1" t="s">
        <v>2308</v>
      </c>
      <c r="N284" s="1" t="s">
        <v>3403</v>
      </c>
      <c r="O284" s="1" t="s">
        <v>2521</v>
      </c>
      <c r="P284" s="1" t="s">
        <v>3956</v>
      </c>
      <c r="Q284" s="1" t="s">
        <v>2808</v>
      </c>
      <c r="R284" s="1" t="s">
        <v>4190</v>
      </c>
      <c r="S284" s="1" t="s">
        <v>4937</v>
      </c>
      <c r="T284" s="6">
        <v>44593</v>
      </c>
      <c r="U284" s="6">
        <v>44599</v>
      </c>
      <c r="V284" s="7">
        <v>0</v>
      </c>
      <c r="W284" s="6">
        <v>44602</v>
      </c>
      <c r="X284" s="7">
        <v>0</v>
      </c>
      <c r="Y284" s="1" t="s">
        <v>4860</v>
      </c>
      <c r="Z284" s="5">
        <v>340</v>
      </c>
      <c r="AA284" s="1" t="s">
        <v>3403</v>
      </c>
      <c r="AB284" s="1"/>
      <c r="AC284" s="1"/>
      <c r="AD284" s="1"/>
      <c r="AE284" s="1" t="s">
        <v>3750</v>
      </c>
      <c r="AF284" s="1" t="s">
        <v>9</v>
      </c>
      <c r="AG284" s="4">
        <v>3</v>
      </c>
      <c r="AH284" s="1"/>
      <c r="AI284" s="6">
        <v>44926</v>
      </c>
    </row>
    <row r="285" spans="1:35" x14ac:dyDescent="0.3">
      <c r="A285" s="1" t="s">
        <v>2188</v>
      </c>
      <c r="B285" s="2" t="str">
        <f>HYPERLINK("https://my.zakupki.prom.ua/remote/dispatcher/state_purchase_view/34692993")</f>
        <v>https://my.zakupki.prom.ua/remote/dispatcher/state_purchase_view/34692993</v>
      </c>
      <c r="C285" s="1" t="s">
        <v>3489</v>
      </c>
      <c r="D285" s="1" t="s">
        <v>571</v>
      </c>
      <c r="E285" s="4">
        <v>445</v>
      </c>
      <c r="F285" s="5">
        <v>446</v>
      </c>
      <c r="G285" s="1" t="s">
        <v>4930</v>
      </c>
      <c r="H285" s="1" t="s">
        <v>836</v>
      </c>
      <c r="I285" s="1" t="s">
        <v>3294</v>
      </c>
      <c r="J285" s="5">
        <v>198470</v>
      </c>
      <c r="K285" s="1" t="s">
        <v>3394</v>
      </c>
      <c r="L285" s="5">
        <v>992.35</v>
      </c>
      <c r="M285" s="1" t="s">
        <v>2308</v>
      </c>
      <c r="N285" s="1" t="s">
        <v>3403</v>
      </c>
      <c r="O285" s="1" t="s">
        <v>2521</v>
      </c>
      <c r="P285" s="1" t="s">
        <v>3956</v>
      </c>
      <c r="Q285" s="1" t="s">
        <v>2761</v>
      </c>
      <c r="R285" s="1" t="s">
        <v>4671</v>
      </c>
      <c r="S285" s="1" t="s">
        <v>4937</v>
      </c>
      <c r="T285" s="6">
        <v>44593</v>
      </c>
      <c r="U285" s="6">
        <v>44599</v>
      </c>
      <c r="V285" s="7">
        <v>0.58333333333333337</v>
      </c>
      <c r="W285" s="6">
        <v>44602</v>
      </c>
      <c r="X285" s="7">
        <v>0.58333333333333337</v>
      </c>
      <c r="Y285" s="1" t="s">
        <v>4860</v>
      </c>
      <c r="Z285" s="5">
        <v>340</v>
      </c>
      <c r="AA285" s="1" t="s">
        <v>3403</v>
      </c>
      <c r="AB285" s="1"/>
      <c r="AC285" s="1"/>
      <c r="AD285" s="1"/>
      <c r="AE285" s="1" t="s">
        <v>2356</v>
      </c>
      <c r="AF285" s="1" t="s">
        <v>9</v>
      </c>
      <c r="AG285" s="1" t="s">
        <v>9</v>
      </c>
      <c r="AH285" s="6">
        <v>44593</v>
      </c>
      <c r="AI285" s="6">
        <v>44926</v>
      </c>
    </row>
    <row r="286" spans="1:35" x14ac:dyDescent="0.3">
      <c r="A286" s="1" t="s">
        <v>2187</v>
      </c>
      <c r="B286" s="2" t="str">
        <f>HYPERLINK("https://my.zakupki.prom.ua/remote/dispatcher/state_purchase_view/34692965")</f>
        <v>https://my.zakupki.prom.ua/remote/dispatcher/state_purchase_view/34692965</v>
      </c>
      <c r="C286" s="1" t="s">
        <v>2680</v>
      </c>
      <c r="D286" s="1" t="s">
        <v>1249</v>
      </c>
      <c r="E286" s="4">
        <v>1</v>
      </c>
      <c r="F286" s="5">
        <v>999000</v>
      </c>
      <c r="G286" s="1" t="s">
        <v>4940</v>
      </c>
      <c r="H286" s="1" t="s">
        <v>246</v>
      </c>
      <c r="I286" s="1" t="s">
        <v>3180</v>
      </c>
      <c r="J286" s="5">
        <v>999000</v>
      </c>
      <c r="K286" s="1" t="s">
        <v>3394</v>
      </c>
      <c r="L286" s="5">
        <v>4995</v>
      </c>
      <c r="M286" s="1" t="s">
        <v>2308</v>
      </c>
      <c r="N286" s="1" t="s">
        <v>3983</v>
      </c>
      <c r="O286" s="1" t="s">
        <v>2521</v>
      </c>
      <c r="P286" s="1" t="s">
        <v>3956</v>
      </c>
      <c r="Q286" s="1" t="s">
        <v>2756</v>
      </c>
      <c r="R286" s="1" t="s">
        <v>4081</v>
      </c>
      <c r="S286" s="1" t="s">
        <v>4937</v>
      </c>
      <c r="T286" s="6">
        <v>44593</v>
      </c>
      <c r="U286" s="6">
        <v>44599</v>
      </c>
      <c r="V286" s="7">
        <v>0.57499999999999996</v>
      </c>
      <c r="W286" s="6">
        <v>44602</v>
      </c>
      <c r="X286" s="7">
        <v>0.57499999999999996</v>
      </c>
      <c r="Y286" s="1" t="s">
        <v>4860</v>
      </c>
      <c r="Z286" s="5">
        <v>510</v>
      </c>
      <c r="AA286" s="1" t="s">
        <v>3403</v>
      </c>
      <c r="AB286" s="1"/>
      <c r="AC286" s="1"/>
      <c r="AD286" s="1"/>
      <c r="AE286" s="1" t="s">
        <v>3741</v>
      </c>
      <c r="AF286" s="1" t="s">
        <v>9</v>
      </c>
      <c r="AG286" s="1" t="s">
        <v>9</v>
      </c>
      <c r="AH286" s="1"/>
      <c r="AI286" s="6">
        <v>44926</v>
      </c>
    </row>
    <row r="287" spans="1:35" x14ac:dyDescent="0.3">
      <c r="A287" s="1" t="s">
        <v>2186</v>
      </c>
      <c r="B287" s="2" t="str">
        <f>HYPERLINK("https://my.zakupki.prom.ua/remote/dispatcher/state_purchase_view/34692958")</f>
        <v>https://my.zakupki.prom.ua/remote/dispatcher/state_purchase_view/34692958</v>
      </c>
      <c r="C287" s="1" t="s">
        <v>4764</v>
      </c>
      <c r="D287" s="1" t="s">
        <v>789</v>
      </c>
      <c r="E287" s="1" t="s">
        <v>4903</v>
      </c>
      <c r="F287" s="1" t="s">
        <v>4903</v>
      </c>
      <c r="G287" s="1" t="s">
        <v>4903</v>
      </c>
      <c r="H287" s="1" t="s">
        <v>1038</v>
      </c>
      <c r="I287" s="1" t="s">
        <v>2936</v>
      </c>
      <c r="J287" s="5">
        <v>309528.65999999997</v>
      </c>
      <c r="K287" s="1" t="s">
        <v>3394</v>
      </c>
      <c r="L287" s="5">
        <v>1547.64</v>
      </c>
      <c r="M287" s="1" t="s">
        <v>2308</v>
      </c>
      <c r="N287" s="1" t="s">
        <v>3983</v>
      </c>
      <c r="O287" s="1" t="s">
        <v>2521</v>
      </c>
      <c r="P287" s="1" t="s">
        <v>2515</v>
      </c>
      <c r="Q287" s="1" t="s">
        <v>2796</v>
      </c>
      <c r="R287" s="1" t="s">
        <v>4390</v>
      </c>
      <c r="S287" s="1" t="s">
        <v>4971</v>
      </c>
      <c r="T287" s="6">
        <v>44593</v>
      </c>
      <c r="U287" s="6">
        <v>44593</v>
      </c>
      <c r="V287" s="7">
        <v>0.58235173721064815</v>
      </c>
      <c r="W287" s="6">
        <v>44609</v>
      </c>
      <c r="X287" s="7">
        <v>0</v>
      </c>
      <c r="Y287" s="8">
        <v>44609.556331018517</v>
      </c>
      <c r="Z287" s="5">
        <v>510</v>
      </c>
      <c r="AA287" s="1" t="s">
        <v>3403</v>
      </c>
      <c r="AB287" s="1"/>
      <c r="AC287" s="1"/>
      <c r="AD287" s="1"/>
      <c r="AE287" s="1" t="s">
        <v>3788</v>
      </c>
      <c r="AF287" s="1" t="s">
        <v>9</v>
      </c>
      <c r="AG287" s="4">
        <v>2</v>
      </c>
      <c r="AH287" s="6">
        <v>44620</v>
      </c>
      <c r="AI287" s="6">
        <v>44926</v>
      </c>
    </row>
    <row r="288" spans="1:35" x14ac:dyDescent="0.3">
      <c r="A288" s="1" t="s">
        <v>2185</v>
      </c>
      <c r="B288" s="2" t="str">
        <f>HYPERLINK("https://my.zakupki.prom.ua/remote/dispatcher/state_purchase_view/34692940")</f>
        <v>https://my.zakupki.prom.ua/remote/dispatcher/state_purchase_view/34692940</v>
      </c>
      <c r="C288" s="1" t="s">
        <v>3059</v>
      </c>
      <c r="D288" s="1" t="s">
        <v>698</v>
      </c>
      <c r="E288" s="4">
        <v>7</v>
      </c>
      <c r="F288" s="5">
        <v>26600</v>
      </c>
      <c r="G288" s="1" t="s">
        <v>4896</v>
      </c>
      <c r="H288" s="1" t="s">
        <v>46</v>
      </c>
      <c r="I288" s="1" t="s">
        <v>3106</v>
      </c>
      <c r="J288" s="5">
        <v>186200</v>
      </c>
      <c r="K288" s="1" t="s">
        <v>3394</v>
      </c>
      <c r="L288" s="5">
        <v>931</v>
      </c>
      <c r="M288" s="1" t="s">
        <v>2308</v>
      </c>
      <c r="N288" s="1" t="s">
        <v>3983</v>
      </c>
      <c r="O288" s="1" t="s">
        <v>2521</v>
      </c>
      <c r="P288" s="1" t="s">
        <v>3956</v>
      </c>
      <c r="Q288" s="1" t="s">
        <v>2528</v>
      </c>
      <c r="R288" s="1" t="s">
        <v>4296</v>
      </c>
      <c r="S288" s="1" t="s">
        <v>4937</v>
      </c>
      <c r="T288" s="6">
        <v>44593</v>
      </c>
      <c r="U288" s="6">
        <v>44600</v>
      </c>
      <c r="V288" s="7">
        <v>0.5</v>
      </c>
      <c r="W288" s="6">
        <v>44603</v>
      </c>
      <c r="X288" s="7">
        <v>0.5</v>
      </c>
      <c r="Y288" s="1" t="s">
        <v>4860</v>
      </c>
      <c r="Z288" s="5">
        <v>340</v>
      </c>
      <c r="AA288" s="1" t="s">
        <v>3403</v>
      </c>
      <c r="AB288" s="1"/>
      <c r="AC288" s="1"/>
      <c r="AD288" s="1"/>
      <c r="AE288" s="1" t="s">
        <v>3776</v>
      </c>
      <c r="AF288" s="1" t="s">
        <v>9</v>
      </c>
      <c r="AG288" s="4">
        <v>3</v>
      </c>
      <c r="AH288" s="1"/>
      <c r="AI288" s="6">
        <v>44926</v>
      </c>
    </row>
    <row r="289" spans="1:35" x14ac:dyDescent="0.3">
      <c r="A289" s="1" t="s">
        <v>2173</v>
      </c>
      <c r="B289" s="2" t="str">
        <f>HYPERLINK("https://my.zakupki.prom.ua/remote/dispatcher/state_purchase_view/34692918")</f>
        <v>https://my.zakupki.prom.ua/remote/dispatcher/state_purchase_view/34692918</v>
      </c>
      <c r="C289" s="1" t="s">
        <v>437</v>
      </c>
      <c r="D289" s="1" t="s">
        <v>727</v>
      </c>
      <c r="E289" s="4">
        <v>1</v>
      </c>
      <c r="F289" s="5">
        <v>140620</v>
      </c>
      <c r="G289" s="1" t="s">
        <v>4906</v>
      </c>
      <c r="H289" s="1" t="s">
        <v>420</v>
      </c>
      <c r="I289" s="1" t="s">
        <v>2585</v>
      </c>
      <c r="J289" s="5">
        <v>140620</v>
      </c>
      <c r="K289" s="1" t="s">
        <v>3394</v>
      </c>
      <c r="L289" s="5">
        <v>703.1</v>
      </c>
      <c r="M289" s="1" t="s">
        <v>2308</v>
      </c>
      <c r="N289" s="1" t="s">
        <v>3403</v>
      </c>
      <c r="O289" s="1" t="s">
        <v>2521</v>
      </c>
      <c r="P289" s="1" t="s">
        <v>2762</v>
      </c>
      <c r="Q289" s="1" t="s">
        <v>4794</v>
      </c>
      <c r="R289" s="1" t="s">
        <v>4081</v>
      </c>
      <c r="S289" s="1" t="s">
        <v>4937</v>
      </c>
      <c r="T289" s="6">
        <v>44593</v>
      </c>
      <c r="U289" s="6">
        <v>44599</v>
      </c>
      <c r="V289" s="7">
        <v>0.875</v>
      </c>
      <c r="W289" s="6">
        <v>44602</v>
      </c>
      <c r="X289" s="7">
        <v>0</v>
      </c>
      <c r="Y289" s="1" t="s">
        <v>4860</v>
      </c>
      <c r="Z289" s="5">
        <v>340</v>
      </c>
      <c r="AA289" s="1" t="s">
        <v>3403</v>
      </c>
      <c r="AB289" s="1"/>
      <c r="AC289" s="1"/>
      <c r="AD289" s="1"/>
      <c r="AE289" s="1" t="s">
        <v>3789</v>
      </c>
      <c r="AF289" s="1" t="s">
        <v>9</v>
      </c>
      <c r="AG289" s="1" t="s">
        <v>9</v>
      </c>
      <c r="AH289" s="1"/>
      <c r="AI289" s="6">
        <v>44925</v>
      </c>
    </row>
    <row r="290" spans="1:35" x14ac:dyDescent="0.3">
      <c r="A290" s="1" t="s">
        <v>1475</v>
      </c>
      <c r="B290" s="2" t="str">
        <f>HYPERLINK("https://my.zakupki.prom.ua/remote/dispatcher/state_purchase_view/34692922")</f>
        <v>https://my.zakupki.prom.ua/remote/dispatcher/state_purchase_view/34692922</v>
      </c>
      <c r="C290" s="1" t="s">
        <v>2786</v>
      </c>
      <c r="D290" s="1" t="s">
        <v>734</v>
      </c>
      <c r="E290" s="1" t="s">
        <v>4903</v>
      </c>
      <c r="F290" s="1" t="s">
        <v>4903</v>
      </c>
      <c r="G290" s="1" t="s">
        <v>4903</v>
      </c>
      <c r="H290" s="1" t="s">
        <v>26</v>
      </c>
      <c r="I290" s="1" t="s">
        <v>3650</v>
      </c>
      <c r="J290" s="5">
        <v>5266800</v>
      </c>
      <c r="K290" s="1" t="s">
        <v>3394</v>
      </c>
      <c r="L290" s="5">
        <v>52668</v>
      </c>
      <c r="M290" s="1" t="s">
        <v>2308</v>
      </c>
      <c r="N290" s="1" t="s">
        <v>3983</v>
      </c>
      <c r="O290" s="1" t="s">
        <v>2521</v>
      </c>
      <c r="P290" s="1" t="s">
        <v>2762</v>
      </c>
      <c r="Q290" s="1" t="s">
        <v>2756</v>
      </c>
      <c r="R290" s="1" t="s">
        <v>4081</v>
      </c>
      <c r="S290" s="1" t="s">
        <v>4937</v>
      </c>
      <c r="T290" s="6">
        <v>44593</v>
      </c>
      <c r="U290" s="6">
        <v>44599</v>
      </c>
      <c r="V290" s="7">
        <v>0.70833333333333337</v>
      </c>
      <c r="W290" s="6">
        <v>44603</v>
      </c>
      <c r="X290" s="7">
        <v>0.41666666666666669</v>
      </c>
      <c r="Y290" s="1" t="s">
        <v>4860</v>
      </c>
      <c r="Z290" s="5">
        <v>3400</v>
      </c>
      <c r="AA290" s="1" t="s">
        <v>3403</v>
      </c>
      <c r="AB290" s="1"/>
      <c r="AC290" s="1"/>
      <c r="AD290" s="1"/>
      <c r="AE290" s="1" t="s">
        <v>3806</v>
      </c>
      <c r="AF290" s="1" t="s">
        <v>9</v>
      </c>
      <c r="AG290" s="1" t="s">
        <v>9</v>
      </c>
      <c r="AH290" s="1"/>
      <c r="AI290" s="6">
        <v>44926</v>
      </c>
    </row>
    <row r="291" spans="1:35" x14ac:dyDescent="0.3">
      <c r="A291" s="1" t="s">
        <v>1478</v>
      </c>
      <c r="B291" s="2" t="str">
        <f>HYPERLINK("https://my.zakupki.prom.ua/remote/dispatcher/state_purchase_view/34692870")</f>
        <v>https://my.zakupki.prom.ua/remote/dispatcher/state_purchase_view/34692870</v>
      </c>
      <c r="C291" s="1" t="s">
        <v>3337</v>
      </c>
      <c r="D291" s="1" t="s">
        <v>471</v>
      </c>
      <c r="E291" s="4">
        <v>1200</v>
      </c>
      <c r="F291" s="5">
        <v>29.11</v>
      </c>
      <c r="G291" s="1" t="s">
        <v>4908</v>
      </c>
      <c r="H291" s="1" t="s">
        <v>304</v>
      </c>
      <c r="I291" s="1" t="s">
        <v>2489</v>
      </c>
      <c r="J291" s="5">
        <v>34930</v>
      </c>
      <c r="K291" s="1" t="s">
        <v>3394</v>
      </c>
      <c r="L291" s="5">
        <v>174.65</v>
      </c>
      <c r="M291" s="1" t="s">
        <v>2308</v>
      </c>
      <c r="N291" s="1" t="s">
        <v>3983</v>
      </c>
      <c r="O291" s="1" t="s">
        <v>2521</v>
      </c>
      <c r="P291" s="1" t="s">
        <v>3956</v>
      </c>
      <c r="Q291" s="1" t="s">
        <v>4798</v>
      </c>
      <c r="R291" s="1" t="s">
        <v>4081</v>
      </c>
      <c r="S291" s="1" t="s">
        <v>4937</v>
      </c>
      <c r="T291" s="6">
        <v>44593</v>
      </c>
      <c r="U291" s="6">
        <v>44597</v>
      </c>
      <c r="V291" s="7">
        <v>0</v>
      </c>
      <c r="W291" s="6">
        <v>44601</v>
      </c>
      <c r="X291" s="7">
        <v>0</v>
      </c>
      <c r="Y291" s="1" t="s">
        <v>4860</v>
      </c>
      <c r="Z291" s="5">
        <v>119</v>
      </c>
      <c r="AA291" s="1" t="s">
        <v>3403</v>
      </c>
      <c r="AB291" s="1"/>
      <c r="AC291" s="1"/>
      <c r="AD291" s="1"/>
      <c r="AE291" s="1" t="s">
        <v>3765</v>
      </c>
      <c r="AF291" s="1" t="s">
        <v>9</v>
      </c>
      <c r="AG291" s="4">
        <v>1</v>
      </c>
      <c r="AH291" s="1"/>
      <c r="AI291" s="6">
        <v>44926</v>
      </c>
    </row>
    <row r="292" spans="1:35" x14ac:dyDescent="0.3">
      <c r="A292" s="1" t="s">
        <v>1778</v>
      </c>
      <c r="B292" s="2" t="str">
        <f>HYPERLINK("https://my.zakupki.prom.ua/remote/dispatcher/state_purchase_view/34692852")</f>
        <v>https://my.zakupki.prom.ua/remote/dispatcher/state_purchase_view/34692852</v>
      </c>
      <c r="C292" s="1" t="s">
        <v>3868</v>
      </c>
      <c r="D292" s="1" t="s">
        <v>1220</v>
      </c>
      <c r="E292" s="4">
        <v>1</v>
      </c>
      <c r="F292" s="5">
        <v>282793.42</v>
      </c>
      <c r="G292" s="1" t="s">
        <v>4975</v>
      </c>
      <c r="H292" s="1" t="s">
        <v>665</v>
      </c>
      <c r="I292" s="1" t="s">
        <v>4723</v>
      </c>
      <c r="J292" s="5">
        <v>282793.42</v>
      </c>
      <c r="K292" s="1" t="s">
        <v>3394</v>
      </c>
      <c r="L292" s="5">
        <v>1413.97</v>
      </c>
      <c r="M292" s="1" t="s">
        <v>2308</v>
      </c>
      <c r="N292" s="1" t="s">
        <v>3983</v>
      </c>
      <c r="O292" s="1" t="s">
        <v>2521</v>
      </c>
      <c r="P292" s="1" t="s">
        <v>3956</v>
      </c>
      <c r="Q292" s="1" t="s">
        <v>3035</v>
      </c>
      <c r="R292" s="1" t="s">
        <v>4410</v>
      </c>
      <c r="S292" s="1" t="s">
        <v>4937</v>
      </c>
      <c r="T292" s="6">
        <v>44593</v>
      </c>
      <c r="U292" s="6">
        <v>44601</v>
      </c>
      <c r="V292" s="7">
        <v>0</v>
      </c>
      <c r="W292" s="6">
        <v>44603</v>
      </c>
      <c r="X292" s="7">
        <v>0.66666666666666663</v>
      </c>
      <c r="Y292" s="1" t="s">
        <v>4860</v>
      </c>
      <c r="Z292" s="5">
        <v>510</v>
      </c>
      <c r="AA292" s="1" t="s">
        <v>3403</v>
      </c>
      <c r="AB292" s="1"/>
      <c r="AC292" s="1"/>
      <c r="AD292" s="1"/>
      <c r="AE292" s="1" t="s">
        <v>3699</v>
      </c>
      <c r="AF292" s="1" t="s">
        <v>9</v>
      </c>
      <c r="AG292" s="4">
        <v>11</v>
      </c>
      <c r="AH292" s="1"/>
      <c r="AI292" s="6">
        <v>44712</v>
      </c>
    </row>
    <row r="293" spans="1:35" x14ac:dyDescent="0.3">
      <c r="A293" s="1" t="s">
        <v>1781</v>
      </c>
      <c r="B293" s="2" t="str">
        <f>HYPERLINK("https://my.zakupki.prom.ua/remote/dispatcher/state_purchase_view/34692848")</f>
        <v>https://my.zakupki.prom.ua/remote/dispatcher/state_purchase_view/34692848</v>
      </c>
      <c r="C293" s="1" t="s">
        <v>3527</v>
      </c>
      <c r="D293" s="1" t="s">
        <v>1155</v>
      </c>
      <c r="E293" s="4">
        <v>1</v>
      </c>
      <c r="F293" s="5">
        <v>360000</v>
      </c>
      <c r="G293" s="1" t="s">
        <v>4939</v>
      </c>
      <c r="H293" s="1" t="s">
        <v>753</v>
      </c>
      <c r="I293" s="1" t="s">
        <v>2922</v>
      </c>
      <c r="J293" s="5">
        <v>360000</v>
      </c>
      <c r="K293" s="1" t="s">
        <v>3394</v>
      </c>
      <c r="L293" s="5">
        <v>1800</v>
      </c>
      <c r="M293" s="1" t="s">
        <v>2308</v>
      </c>
      <c r="N293" s="1" t="s">
        <v>3983</v>
      </c>
      <c r="O293" s="1" t="s">
        <v>2521</v>
      </c>
      <c r="P293" s="1" t="s">
        <v>2515</v>
      </c>
      <c r="Q293" s="1" t="s">
        <v>4794</v>
      </c>
      <c r="R293" s="1" t="s">
        <v>4081</v>
      </c>
      <c r="S293" s="1" t="s">
        <v>4971</v>
      </c>
      <c r="T293" s="6">
        <v>44593</v>
      </c>
      <c r="U293" s="6">
        <v>44593</v>
      </c>
      <c r="V293" s="7">
        <v>0.58111111111111113</v>
      </c>
      <c r="W293" s="6">
        <v>44609</v>
      </c>
      <c r="X293" s="7">
        <v>0.625</v>
      </c>
      <c r="Y293" s="8">
        <v>44610.551226851851</v>
      </c>
      <c r="Z293" s="5">
        <v>510</v>
      </c>
      <c r="AA293" s="1" t="s">
        <v>3403</v>
      </c>
      <c r="AB293" s="1"/>
      <c r="AC293" s="1"/>
      <c r="AD293" s="1"/>
      <c r="AE293" s="1" t="s">
        <v>3750</v>
      </c>
      <c r="AF293" s="1" t="s">
        <v>9</v>
      </c>
      <c r="AG293" s="4">
        <v>4</v>
      </c>
      <c r="AH293" s="1"/>
      <c r="AI293" s="6">
        <v>44926</v>
      </c>
    </row>
    <row r="294" spans="1:35" x14ac:dyDescent="0.3">
      <c r="A294" s="1" t="s">
        <v>1479</v>
      </c>
      <c r="B294" s="2" t="str">
        <f>HYPERLINK("https://my.zakupki.prom.ua/remote/dispatcher/state_purchase_view/34692845")</f>
        <v>https://my.zakupki.prom.ua/remote/dispatcher/state_purchase_view/34692845</v>
      </c>
      <c r="C294" s="1" t="s">
        <v>3444</v>
      </c>
      <c r="D294" s="1" t="s">
        <v>694</v>
      </c>
      <c r="E294" s="4">
        <v>125</v>
      </c>
      <c r="F294" s="5">
        <v>160</v>
      </c>
      <c r="G294" s="1" t="s">
        <v>4935</v>
      </c>
      <c r="H294" s="1" t="s">
        <v>335</v>
      </c>
      <c r="I294" s="1" t="s">
        <v>2847</v>
      </c>
      <c r="J294" s="5">
        <v>20000</v>
      </c>
      <c r="K294" s="1" t="s">
        <v>3394</v>
      </c>
      <c r="L294" s="5">
        <v>100</v>
      </c>
      <c r="M294" s="1" t="s">
        <v>2308</v>
      </c>
      <c r="N294" s="1" t="s">
        <v>3983</v>
      </c>
      <c r="O294" s="1" t="s">
        <v>2521</v>
      </c>
      <c r="P294" s="1" t="s">
        <v>3956</v>
      </c>
      <c r="Q294" s="1" t="s">
        <v>2528</v>
      </c>
      <c r="R294" s="1" t="s">
        <v>4081</v>
      </c>
      <c r="S294" s="1" t="s">
        <v>4937</v>
      </c>
      <c r="T294" s="6">
        <v>44593</v>
      </c>
      <c r="U294" s="6">
        <v>44599</v>
      </c>
      <c r="V294" s="7">
        <v>0.58142361111111107</v>
      </c>
      <c r="W294" s="6">
        <v>44602</v>
      </c>
      <c r="X294" s="7">
        <v>0.58142361111111107</v>
      </c>
      <c r="Y294" s="1" t="s">
        <v>4860</v>
      </c>
      <c r="Z294" s="5">
        <v>17</v>
      </c>
      <c r="AA294" s="1" t="s">
        <v>3403</v>
      </c>
      <c r="AB294" s="1"/>
      <c r="AC294" s="1"/>
      <c r="AD294" s="1"/>
      <c r="AE294" s="1" t="s">
        <v>3767</v>
      </c>
      <c r="AF294" s="1" t="s">
        <v>9</v>
      </c>
      <c r="AG294" s="4">
        <v>11</v>
      </c>
      <c r="AH294" s="1"/>
      <c r="AI294" s="6">
        <v>44926</v>
      </c>
    </row>
    <row r="295" spans="1:35" x14ac:dyDescent="0.3">
      <c r="A295" s="1" t="s">
        <v>1786</v>
      </c>
      <c r="B295" s="2" t="str">
        <f>HYPERLINK("https://my.zakupki.prom.ua/remote/dispatcher/state_purchase_view/34692825")</f>
        <v>https://my.zakupki.prom.ua/remote/dispatcher/state_purchase_view/34692825</v>
      </c>
      <c r="C295" s="1" t="s">
        <v>3920</v>
      </c>
      <c r="D295" s="1" t="s">
        <v>480</v>
      </c>
      <c r="E295" s="1" t="s">
        <v>4903</v>
      </c>
      <c r="F295" s="1" t="s">
        <v>4903</v>
      </c>
      <c r="G295" s="1" t="s">
        <v>4903</v>
      </c>
      <c r="H295" s="1" t="s">
        <v>950</v>
      </c>
      <c r="I295" s="1" t="s">
        <v>2954</v>
      </c>
      <c r="J295" s="5">
        <v>197000</v>
      </c>
      <c r="K295" s="1" t="s">
        <v>3394</v>
      </c>
      <c r="L295" s="5">
        <v>985</v>
      </c>
      <c r="M295" s="1" t="s">
        <v>2308</v>
      </c>
      <c r="N295" s="1" t="s">
        <v>3983</v>
      </c>
      <c r="O295" s="1" t="s">
        <v>2521</v>
      </c>
      <c r="P295" s="1" t="s">
        <v>3956</v>
      </c>
      <c r="Q295" s="1" t="s">
        <v>3035</v>
      </c>
      <c r="R295" s="1" t="s">
        <v>4081</v>
      </c>
      <c r="S295" s="1" t="s">
        <v>4937</v>
      </c>
      <c r="T295" s="6">
        <v>44593</v>
      </c>
      <c r="U295" s="6">
        <v>44599</v>
      </c>
      <c r="V295" s="7">
        <v>0.375</v>
      </c>
      <c r="W295" s="6">
        <v>44602</v>
      </c>
      <c r="X295" s="7">
        <v>0</v>
      </c>
      <c r="Y295" s="1" t="s">
        <v>4860</v>
      </c>
      <c r="Z295" s="5">
        <v>340</v>
      </c>
      <c r="AA295" s="1" t="s">
        <v>3403</v>
      </c>
      <c r="AB295" s="1"/>
      <c r="AC295" s="1"/>
      <c r="AD295" s="1"/>
      <c r="AE295" s="1" t="s">
        <v>3773</v>
      </c>
      <c r="AF295" s="1" t="s">
        <v>9</v>
      </c>
      <c r="AG295" s="1" t="s">
        <v>9</v>
      </c>
      <c r="AH295" s="6">
        <v>44613</v>
      </c>
      <c r="AI295" s="6">
        <v>44926</v>
      </c>
    </row>
    <row r="296" spans="1:35" x14ac:dyDescent="0.3">
      <c r="A296" s="1" t="s">
        <v>1785</v>
      </c>
      <c r="B296" s="2" t="str">
        <f>HYPERLINK("https://my.zakupki.prom.ua/remote/dispatcher/state_purchase_view/34692824")</f>
        <v>https://my.zakupki.prom.ua/remote/dispatcher/state_purchase_view/34692824</v>
      </c>
      <c r="C296" s="1" t="s">
        <v>2649</v>
      </c>
      <c r="D296" s="1" t="s">
        <v>441</v>
      </c>
      <c r="E296" s="1" t="s">
        <v>4903</v>
      </c>
      <c r="F296" s="1" t="s">
        <v>4903</v>
      </c>
      <c r="G296" s="1" t="s">
        <v>4903</v>
      </c>
      <c r="H296" s="1" t="s">
        <v>819</v>
      </c>
      <c r="I296" s="1" t="s">
        <v>2734</v>
      </c>
      <c r="J296" s="5">
        <v>299625</v>
      </c>
      <c r="K296" s="1" t="s">
        <v>3394</v>
      </c>
      <c r="L296" s="5">
        <v>1498.12</v>
      </c>
      <c r="M296" s="1" t="s">
        <v>2308</v>
      </c>
      <c r="N296" s="1" t="s">
        <v>3983</v>
      </c>
      <c r="O296" s="1" t="s">
        <v>2521</v>
      </c>
      <c r="P296" s="1" t="s">
        <v>3956</v>
      </c>
      <c r="Q296" s="1" t="s">
        <v>2761</v>
      </c>
      <c r="R296" s="1" t="s">
        <v>4135</v>
      </c>
      <c r="S296" s="1" t="s">
        <v>4937</v>
      </c>
      <c r="T296" s="6">
        <v>44593</v>
      </c>
      <c r="U296" s="6">
        <v>44599</v>
      </c>
      <c r="V296" s="7">
        <v>0.375</v>
      </c>
      <c r="W296" s="6">
        <v>44602</v>
      </c>
      <c r="X296" s="7">
        <v>0.375</v>
      </c>
      <c r="Y296" s="1" t="s">
        <v>4860</v>
      </c>
      <c r="Z296" s="5">
        <v>510</v>
      </c>
      <c r="AA296" s="1" t="s">
        <v>3403</v>
      </c>
      <c r="AB296" s="1"/>
      <c r="AC296" s="1"/>
      <c r="AD296" s="1"/>
      <c r="AE296" s="1" t="s">
        <v>3802</v>
      </c>
      <c r="AF296" s="1" t="s">
        <v>9</v>
      </c>
      <c r="AG296" s="4">
        <v>18</v>
      </c>
      <c r="AH296" s="1"/>
      <c r="AI296" s="6">
        <v>44926</v>
      </c>
    </row>
    <row r="297" spans="1:35" x14ac:dyDescent="0.3">
      <c r="A297" s="1" t="s">
        <v>1782</v>
      </c>
      <c r="B297" s="2" t="str">
        <f>HYPERLINK("https://my.zakupki.prom.ua/remote/dispatcher/state_purchase_view/34692800")</f>
        <v>https://my.zakupki.prom.ua/remote/dispatcher/state_purchase_view/34692800</v>
      </c>
      <c r="C297" s="1" t="s">
        <v>3828</v>
      </c>
      <c r="D297" s="1" t="s">
        <v>468</v>
      </c>
      <c r="E297" s="4">
        <v>2103</v>
      </c>
      <c r="F297" s="5">
        <v>63.7</v>
      </c>
      <c r="G297" s="1" t="s">
        <v>4908</v>
      </c>
      <c r="H297" s="1" t="s">
        <v>165</v>
      </c>
      <c r="I297" s="1" t="s">
        <v>2857</v>
      </c>
      <c r="J297" s="5">
        <v>133966.10999999999</v>
      </c>
      <c r="K297" s="1" t="s">
        <v>3394</v>
      </c>
      <c r="L297" s="5">
        <v>1339.66</v>
      </c>
      <c r="M297" s="1" t="s">
        <v>2308</v>
      </c>
      <c r="N297" s="1" t="s">
        <v>3983</v>
      </c>
      <c r="O297" s="1" t="s">
        <v>2521</v>
      </c>
      <c r="P297" s="1" t="s">
        <v>3956</v>
      </c>
      <c r="Q297" s="1" t="s">
        <v>2761</v>
      </c>
      <c r="R297" s="1" t="s">
        <v>4325</v>
      </c>
      <c r="S297" s="1" t="s">
        <v>4937</v>
      </c>
      <c r="T297" s="6">
        <v>44593</v>
      </c>
      <c r="U297" s="6">
        <v>44600</v>
      </c>
      <c r="V297" s="7">
        <v>0.75</v>
      </c>
      <c r="W297" s="6">
        <v>44603</v>
      </c>
      <c r="X297" s="7">
        <v>0.75</v>
      </c>
      <c r="Y297" s="1" t="s">
        <v>4860</v>
      </c>
      <c r="Z297" s="5">
        <v>340</v>
      </c>
      <c r="AA297" s="1" t="s">
        <v>3403</v>
      </c>
      <c r="AB297" s="1"/>
      <c r="AC297" s="1"/>
      <c r="AD297" s="1"/>
      <c r="AE297" s="1" t="s">
        <v>3788</v>
      </c>
      <c r="AF297" s="1" t="s">
        <v>9</v>
      </c>
      <c r="AG297" s="4">
        <v>18</v>
      </c>
      <c r="AH297" s="1"/>
      <c r="AI297" s="6">
        <v>44926</v>
      </c>
    </row>
    <row r="298" spans="1:35" x14ac:dyDescent="0.3">
      <c r="A298" s="1" t="s">
        <v>2177</v>
      </c>
      <c r="B298" s="2" t="str">
        <f>HYPERLINK("https://my.zakupki.prom.ua/remote/dispatcher/state_purchase_view/34692803")</f>
        <v>https://my.zakupki.prom.ua/remote/dispatcher/state_purchase_view/34692803</v>
      </c>
      <c r="C298" s="1" t="s">
        <v>1306</v>
      </c>
      <c r="D298" s="1" t="s">
        <v>1213</v>
      </c>
      <c r="E298" s="1" t="s">
        <v>4903</v>
      </c>
      <c r="F298" s="1" t="s">
        <v>4903</v>
      </c>
      <c r="G298" s="1" t="s">
        <v>4903</v>
      </c>
      <c r="H298" s="1" t="s">
        <v>151</v>
      </c>
      <c r="I298" s="1" t="s">
        <v>4986</v>
      </c>
      <c r="J298" s="5">
        <v>199190</v>
      </c>
      <c r="K298" s="1" t="s">
        <v>3394</v>
      </c>
      <c r="L298" s="5">
        <v>995.95</v>
      </c>
      <c r="M298" s="1" t="s">
        <v>2308</v>
      </c>
      <c r="N298" s="1" t="s">
        <v>3983</v>
      </c>
      <c r="O298" s="1" t="s">
        <v>2521</v>
      </c>
      <c r="P298" s="1" t="s">
        <v>3956</v>
      </c>
      <c r="Q298" s="1" t="s">
        <v>3970</v>
      </c>
      <c r="R298" s="1" t="s">
        <v>4160</v>
      </c>
      <c r="S298" s="1" t="s">
        <v>4937</v>
      </c>
      <c r="T298" s="6">
        <v>44593</v>
      </c>
      <c r="U298" s="6">
        <v>44597</v>
      </c>
      <c r="V298" s="7">
        <v>0.58253472222222225</v>
      </c>
      <c r="W298" s="6">
        <v>44602</v>
      </c>
      <c r="X298" s="7">
        <v>0.58253472222222225</v>
      </c>
      <c r="Y298" s="1" t="s">
        <v>4860</v>
      </c>
      <c r="Z298" s="5">
        <v>340</v>
      </c>
      <c r="AA298" s="1" t="s">
        <v>3403</v>
      </c>
      <c r="AB298" s="1"/>
      <c r="AC298" s="1"/>
      <c r="AD298" s="1"/>
      <c r="AE298" s="1" t="s">
        <v>3727</v>
      </c>
      <c r="AF298" s="1" t="s">
        <v>9</v>
      </c>
      <c r="AG298" s="4">
        <v>9</v>
      </c>
      <c r="AH298" s="1"/>
      <c r="AI298" s="6">
        <v>44926</v>
      </c>
    </row>
    <row r="299" spans="1:35" x14ac:dyDescent="0.3">
      <c r="A299" s="1" t="s">
        <v>2184</v>
      </c>
      <c r="B299" s="2" t="str">
        <f>HYPERLINK("https://my.zakupki.prom.ua/remote/dispatcher/state_purchase_view/34692788")</f>
        <v>https://my.zakupki.prom.ua/remote/dispatcher/state_purchase_view/34692788</v>
      </c>
      <c r="C299" s="1" t="s">
        <v>3615</v>
      </c>
      <c r="D299" s="1" t="s">
        <v>1211</v>
      </c>
      <c r="E299" s="1" t="s">
        <v>4903</v>
      </c>
      <c r="F299" s="1" t="s">
        <v>4903</v>
      </c>
      <c r="G299" s="1" t="s">
        <v>4903</v>
      </c>
      <c r="H299" s="1" t="s">
        <v>559</v>
      </c>
      <c r="I299" s="1" t="s">
        <v>2529</v>
      </c>
      <c r="J299" s="5">
        <v>86000</v>
      </c>
      <c r="K299" s="1" t="s">
        <v>3394</v>
      </c>
      <c r="L299" s="5">
        <v>430</v>
      </c>
      <c r="M299" s="1" t="s">
        <v>2308</v>
      </c>
      <c r="N299" s="1" t="s">
        <v>3983</v>
      </c>
      <c r="O299" s="1" t="s">
        <v>2521</v>
      </c>
      <c r="P299" s="1" t="s">
        <v>3956</v>
      </c>
      <c r="Q299" s="1" t="s">
        <v>4798</v>
      </c>
      <c r="R299" s="1" t="s">
        <v>4081</v>
      </c>
      <c r="S299" s="1" t="s">
        <v>4937</v>
      </c>
      <c r="T299" s="6">
        <v>44593</v>
      </c>
      <c r="U299" s="6">
        <v>44599</v>
      </c>
      <c r="V299" s="7">
        <v>0.70833333333333337</v>
      </c>
      <c r="W299" s="6">
        <v>44602</v>
      </c>
      <c r="X299" s="7">
        <v>0.33333333333333331</v>
      </c>
      <c r="Y299" s="1" t="s">
        <v>4860</v>
      </c>
      <c r="Z299" s="5">
        <v>340</v>
      </c>
      <c r="AA299" s="1" t="s">
        <v>3403</v>
      </c>
      <c r="AB299" s="1"/>
      <c r="AC299" s="1"/>
      <c r="AD299" s="1"/>
      <c r="AE299" s="1" t="s">
        <v>3737</v>
      </c>
      <c r="AF299" s="1" t="s">
        <v>9</v>
      </c>
      <c r="AG299" s="4">
        <v>2</v>
      </c>
      <c r="AH299" s="6">
        <v>44621</v>
      </c>
      <c r="AI299" s="6">
        <v>44926</v>
      </c>
    </row>
    <row r="300" spans="1:35" x14ac:dyDescent="0.3">
      <c r="A300" s="1" t="s">
        <v>2183</v>
      </c>
      <c r="B300" s="2" t="str">
        <f>HYPERLINK("https://my.zakupki.prom.ua/remote/dispatcher/state_purchase_view/34692783")</f>
        <v>https://my.zakupki.prom.ua/remote/dispatcher/state_purchase_view/34692783</v>
      </c>
      <c r="C300" s="1" t="s">
        <v>2648</v>
      </c>
      <c r="D300" s="1" t="s">
        <v>387</v>
      </c>
      <c r="E300" s="4">
        <v>29281</v>
      </c>
      <c r="F300" s="5">
        <v>5.5</v>
      </c>
      <c r="G300" s="1" t="s">
        <v>3235</v>
      </c>
      <c r="H300" s="1" t="s">
        <v>207</v>
      </c>
      <c r="I300" s="1" t="s">
        <v>4035</v>
      </c>
      <c r="J300" s="5">
        <v>161050</v>
      </c>
      <c r="K300" s="1" t="s">
        <v>3394</v>
      </c>
      <c r="L300" s="5">
        <v>805.25</v>
      </c>
      <c r="M300" s="1" t="s">
        <v>2308</v>
      </c>
      <c r="N300" s="1" t="s">
        <v>3983</v>
      </c>
      <c r="O300" s="1" t="s">
        <v>2521</v>
      </c>
      <c r="P300" s="1" t="s">
        <v>3956</v>
      </c>
      <c r="Q300" s="1" t="s">
        <v>3970</v>
      </c>
      <c r="R300" s="1" t="s">
        <v>4166</v>
      </c>
      <c r="S300" s="1" t="s">
        <v>4937</v>
      </c>
      <c r="T300" s="6">
        <v>44593</v>
      </c>
      <c r="U300" s="6">
        <v>44600</v>
      </c>
      <c r="V300" s="7">
        <v>0</v>
      </c>
      <c r="W300" s="6">
        <v>44603</v>
      </c>
      <c r="X300" s="7">
        <v>0</v>
      </c>
      <c r="Y300" s="1" t="s">
        <v>4860</v>
      </c>
      <c r="Z300" s="5">
        <v>340</v>
      </c>
      <c r="AA300" s="1" t="s">
        <v>3403</v>
      </c>
      <c r="AB300" s="1"/>
      <c r="AC300" s="1"/>
      <c r="AD300" s="1"/>
      <c r="AE300" s="1" t="s">
        <v>3756</v>
      </c>
      <c r="AF300" s="1" t="s">
        <v>9</v>
      </c>
      <c r="AG300" s="1" t="s">
        <v>9</v>
      </c>
      <c r="AH300" s="1"/>
      <c r="AI300" s="6">
        <v>44926</v>
      </c>
    </row>
    <row r="301" spans="1:35" x14ac:dyDescent="0.3">
      <c r="A301" s="1" t="s">
        <v>1771</v>
      </c>
      <c r="B301" s="2" t="str">
        <f>HYPERLINK("https://my.zakupki.prom.ua/remote/dispatcher/state_purchase_view/34692784")</f>
        <v>https://my.zakupki.prom.ua/remote/dispatcher/state_purchase_view/34692784</v>
      </c>
      <c r="C301" s="1" t="s">
        <v>4892</v>
      </c>
      <c r="D301" s="1" t="s">
        <v>373</v>
      </c>
      <c r="E301" s="1" t="s">
        <v>4903</v>
      </c>
      <c r="F301" s="1" t="s">
        <v>4903</v>
      </c>
      <c r="G301" s="1" t="s">
        <v>4903</v>
      </c>
      <c r="H301" s="1" t="s">
        <v>679</v>
      </c>
      <c r="I301" s="1" t="s">
        <v>3347</v>
      </c>
      <c r="J301" s="5">
        <v>262500</v>
      </c>
      <c r="K301" s="1" t="s">
        <v>3394</v>
      </c>
      <c r="L301" s="5">
        <v>1312.5</v>
      </c>
      <c r="M301" s="1" t="s">
        <v>2308</v>
      </c>
      <c r="N301" s="1" t="s">
        <v>3983</v>
      </c>
      <c r="O301" s="1" t="s">
        <v>2521</v>
      </c>
      <c r="P301" s="1" t="s">
        <v>2515</v>
      </c>
      <c r="Q301" s="1" t="s">
        <v>4798</v>
      </c>
      <c r="R301" s="1" t="s">
        <v>4227</v>
      </c>
      <c r="S301" s="1" t="s">
        <v>4971</v>
      </c>
      <c r="T301" s="6">
        <v>44593</v>
      </c>
      <c r="U301" s="6">
        <v>44593</v>
      </c>
      <c r="V301" s="7">
        <v>0.57546908120370377</v>
      </c>
      <c r="W301" s="6">
        <v>44609</v>
      </c>
      <c r="X301" s="7">
        <v>0.70833333333333337</v>
      </c>
      <c r="Y301" s="8">
        <v>44610.573888888888</v>
      </c>
      <c r="Z301" s="5">
        <v>510</v>
      </c>
      <c r="AA301" s="1" t="s">
        <v>3403</v>
      </c>
      <c r="AB301" s="1"/>
      <c r="AC301" s="1"/>
      <c r="AD301" s="1"/>
      <c r="AE301" s="1" t="s">
        <v>3776</v>
      </c>
      <c r="AF301" s="1" t="s">
        <v>9</v>
      </c>
      <c r="AG301" s="4">
        <v>9</v>
      </c>
      <c r="AH301" s="1"/>
      <c r="AI301" s="6">
        <v>44926</v>
      </c>
    </row>
    <row r="302" spans="1:35" x14ac:dyDescent="0.3">
      <c r="A302" s="1" t="s">
        <v>1783</v>
      </c>
      <c r="B302" s="2" t="str">
        <f>HYPERLINK("https://my.zakupki.prom.ua/remote/dispatcher/state_purchase_view/34692782")</f>
        <v>https://my.zakupki.prom.ua/remote/dispatcher/state_purchase_view/34692782</v>
      </c>
      <c r="C302" s="1" t="s">
        <v>2704</v>
      </c>
      <c r="D302" s="1" t="s">
        <v>1110</v>
      </c>
      <c r="E302" s="1" t="s">
        <v>4903</v>
      </c>
      <c r="F302" s="1" t="s">
        <v>4903</v>
      </c>
      <c r="G302" s="1" t="s">
        <v>4903</v>
      </c>
      <c r="H302" s="1" t="s">
        <v>195</v>
      </c>
      <c r="I302" s="1" t="s">
        <v>2538</v>
      </c>
      <c r="J302" s="5">
        <v>14000</v>
      </c>
      <c r="K302" s="1" t="s">
        <v>3394</v>
      </c>
      <c r="L302" s="5">
        <v>70</v>
      </c>
      <c r="M302" s="1" t="s">
        <v>2308</v>
      </c>
      <c r="N302" s="1" t="s">
        <v>3983</v>
      </c>
      <c r="O302" s="1" t="s">
        <v>2521</v>
      </c>
      <c r="P302" s="1" t="s">
        <v>3956</v>
      </c>
      <c r="Q302" s="1" t="s">
        <v>4831</v>
      </c>
      <c r="R302" s="1" t="s">
        <v>4119</v>
      </c>
      <c r="S302" s="1" t="s">
        <v>4937</v>
      </c>
      <c r="T302" s="6">
        <v>44593</v>
      </c>
      <c r="U302" s="6">
        <v>44599</v>
      </c>
      <c r="V302" s="7">
        <v>0</v>
      </c>
      <c r="W302" s="6">
        <v>44602</v>
      </c>
      <c r="X302" s="7">
        <v>0</v>
      </c>
      <c r="Y302" s="1" t="s">
        <v>4860</v>
      </c>
      <c r="Z302" s="5">
        <v>17</v>
      </c>
      <c r="AA302" s="1" t="s">
        <v>3403</v>
      </c>
      <c r="AB302" s="1"/>
      <c r="AC302" s="1"/>
      <c r="AD302" s="1"/>
      <c r="AE302" s="1" t="s">
        <v>3765</v>
      </c>
      <c r="AF302" s="1" t="s">
        <v>9</v>
      </c>
      <c r="AG302" s="1" t="s">
        <v>9</v>
      </c>
      <c r="AH302" s="6">
        <v>44606</v>
      </c>
      <c r="AI302" s="6">
        <v>44620</v>
      </c>
    </row>
    <row r="303" spans="1:35" x14ac:dyDescent="0.3">
      <c r="A303" s="1" t="s">
        <v>2182</v>
      </c>
      <c r="B303" s="2" t="str">
        <f>HYPERLINK("https://my.zakupki.prom.ua/remote/dispatcher/state_purchase_view/34692745")</f>
        <v>https://my.zakupki.prom.ua/remote/dispatcher/state_purchase_view/34692745</v>
      </c>
      <c r="C303" s="1" t="s">
        <v>3228</v>
      </c>
      <c r="D303" s="1" t="s">
        <v>529</v>
      </c>
      <c r="E303" s="1" t="s">
        <v>4903</v>
      </c>
      <c r="F303" s="1" t="s">
        <v>4903</v>
      </c>
      <c r="G303" s="1" t="s">
        <v>4903</v>
      </c>
      <c r="H303" s="1" t="s">
        <v>100</v>
      </c>
      <c r="I303" s="1" t="s">
        <v>3110</v>
      </c>
      <c r="J303" s="5">
        <v>15750</v>
      </c>
      <c r="K303" s="1" t="s">
        <v>3394</v>
      </c>
      <c r="L303" s="5">
        <v>78.75</v>
      </c>
      <c r="M303" s="1" t="s">
        <v>2308</v>
      </c>
      <c r="N303" s="1" t="s">
        <v>3403</v>
      </c>
      <c r="O303" s="1" t="s">
        <v>2521</v>
      </c>
      <c r="P303" s="1" t="s">
        <v>3956</v>
      </c>
      <c r="Q303" s="1" t="s">
        <v>3970</v>
      </c>
      <c r="R303" s="1" t="s">
        <v>4335</v>
      </c>
      <c r="S303" s="1" t="s">
        <v>4937</v>
      </c>
      <c r="T303" s="6">
        <v>44593</v>
      </c>
      <c r="U303" s="6">
        <v>44599</v>
      </c>
      <c r="V303" s="7">
        <v>0</v>
      </c>
      <c r="W303" s="6">
        <v>44602</v>
      </c>
      <c r="X303" s="7">
        <v>0</v>
      </c>
      <c r="Y303" s="1" t="s">
        <v>4860</v>
      </c>
      <c r="Z303" s="5">
        <v>17</v>
      </c>
      <c r="AA303" s="1" t="s">
        <v>3403</v>
      </c>
      <c r="AB303" s="1"/>
      <c r="AC303" s="1"/>
      <c r="AD303" s="1"/>
      <c r="AE303" s="1" t="s">
        <v>3779</v>
      </c>
      <c r="AF303" s="1" t="s">
        <v>9</v>
      </c>
      <c r="AG303" s="4">
        <v>1</v>
      </c>
      <c r="AH303" s="1"/>
      <c r="AI303" s="6">
        <v>44651</v>
      </c>
    </row>
    <row r="304" spans="1:35" x14ac:dyDescent="0.3">
      <c r="A304" s="1" t="s">
        <v>2181</v>
      </c>
      <c r="B304" s="2" t="str">
        <f>HYPERLINK("https://my.zakupki.prom.ua/remote/dispatcher/state_purchase_view/34692724")</f>
        <v>https://my.zakupki.prom.ua/remote/dispatcher/state_purchase_view/34692724</v>
      </c>
      <c r="C304" s="1" t="s">
        <v>4785</v>
      </c>
      <c r="D304" s="1" t="s">
        <v>441</v>
      </c>
      <c r="E304" s="4">
        <v>1320</v>
      </c>
      <c r="F304" s="5">
        <v>150</v>
      </c>
      <c r="G304" s="1" t="s">
        <v>4901</v>
      </c>
      <c r="H304" s="1" t="s">
        <v>306</v>
      </c>
      <c r="I304" s="1" t="s">
        <v>3470</v>
      </c>
      <c r="J304" s="5">
        <v>198000</v>
      </c>
      <c r="K304" s="1" t="s">
        <v>3394</v>
      </c>
      <c r="L304" s="5">
        <v>990</v>
      </c>
      <c r="M304" s="1" t="s">
        <v>2308</v>
      </c>
      <c r="N304" s="1" t="s">
        <v>3983</v>
      </c>
      <c r="O304" s="1" t="s">
        <v>2521</v>
      </c>
      <c r="P304" s="1" t="s">
        <v>3956</v>
      </c>
      <c r="Q304" s="1" t="s">
        <v>4798</v>
      </c>
      <c r="R304" s="1" t="s">
        <v>4081</v>
      </c>
      <c r="S304" s="1" t="s">
        <v>4937</v>
      </c>
      <c r="T304" s="6">
        <v>44593</v>
      </c>
      <c r="U304" s="6">
        <v>44599</v>
      </c>
      <c r="V304" s="7">
        <v>0</v>
      </c>
      <c r="W304" s="6">
        <v>44602</v>
      </c>
      <c r="X304" s="7">
        <v>0</v>
      </c>
      <c r="Y304" s="1" t="s">
        <v>4860</v>
      </c>
      <c r="Z304" s="5">
        <v>340</v>
      </c>
      <c r="AA304" s="1" t="s">
        <v>3403</v>
      </c>
      <c r="AB304" s="1"/>
      <c r="AC304" s="1"/>
      <c r="AD304" s="1"/>
      <c r="AE304" s="1" t="s">
        <v>3776</v>
      </c>
      <c r="AF304" s="1" t="s">
        <v>9</v>
      </c>
      <c r="AG304" s="4">
        <v>1</v>
      </c>
      <c r="AH304" s="6">
        <v>44606</v>
      </c>
      <c r="AI304" s="6">
        <v>44926</v>
      </c>
    </row>
    <row r="305" spans="1:35" x14ac:dyDescent="0.3">
      <c r="A305" s="1" t="s">
        <v>2180</v>
      </c>
      <c r="B305" s="2" t="str">
        <f>HYPERLINK("https://my.zakupki.prom.ua/remote/dispatcher/state_purchase_view/34692688")</f>
        <v>https://my.zakupki.prom.ua/remote/dispatcher/state_purchase_view/34692688</v>
      </c>
      <c r="C305" s="1" t="s">
        <v>3226</v>
      </c>
      <c r="D305" s="1" t="s">
        <v>485</v>
      </c>
      <c r="E305" s="1" t="s">
        <v>4903</v>
      </c>
      <c r="F305" s="1" t="s">
        <v>4903</v>
      </c>
      <c r="G305" s="1" t="s">
        <v>4903</v>
      </c>
      <c r="H305" s="1" t="s">
        <v>180</v>
      </c>
      <c r="I305" s="1" t="s">
        <v>2859</v>
      </c>
      <c r="J305" s="5">
        <v>85000</v>
      </c>
      <c r="K305" s="1" t="s">
        <v>3394</v>
      </c>
      <c r="L305" s="5">
        <v>850</v>
      </c>
      <c r="M305" s="1" t="s">
        <v>2308</v>
      </c>
      <c r="N305" s="1" t="s">
        <v>3983</v>
      </c>
      <c r="O305" s="1" t="s">
        <v>2521</v>
      </c>
      <c r="P305" s="1" t="s">
        <v>2515</v>
      </c>
      <c r="Q305" s="1" t="s">
        <v>2820</v>
      </c>
      <c r="R305" s="1" t="s">
        <v>4556</v>
      </c>
      <c r="S305" s="1" t="s">
        <v>4971</v>
      </c>
      <c r="T305" s="6">
        <v>44593</v>
      </c>
      <c r="U305" s="6">
        <v>44593</v>
      </c>
      <c r="V305" s="7">
        <v>0.58014125793981475</v>
      </c>
      <c r="W305" s="6">
        <v>44609</v>
      </c>
      <c r="X305" s="7">
        <v>0</v>
      </c>
      <c r="Y305" s="8">
        <v>44609.523946759262</v>
      </c>
      <c r="Z305" s="5">
        <v>340</v>
      </c>
      <c r="AA305" s="1" t="s">
        <v>3403</v>
      </c>
      <c r="AB305" s="1"/>
      <c r="AC305" s="1"/>
      <c r="AD305" s="1"/>
      <c r="AE305" s="1" t="s">
        <v>3787</v>
      </c>
      <c r="AF305" s="1" t="s">
        <v>9</v>
      </c>
      <c r="AG305" s="4">
        <v>13</v>
      </c>
      <c r="AH305" s="1"/>
      <c r="AI305" s="6">
        <v>44926</v>
      </c>
    </row>
    <row r="306" spans="1:35" x14ac:dyDescent="0.3">
      <c r="A306" s="1" t="s">
        <v>2179</v>
      </c>
      <c r="B306" s="2" t="str">
        <f>HYPERLINK("https://my.zakupki.prom.ua/remote/dispatcher/state_purchase_view/34692685")</f>
        <v>https://my.zakupki.prom.ua/remote/dispatcher/state_purchase_view/34692685</v>
      </c>
      <c r="C306" s="1" t="s">
        <v>3556</v>
      </c>
      <c r="D306" s="1" t="s">
        <v>1290</v>
      </c>
      <c r="E306" s="4">
        <v>10</v>
      </c>
      <c r="F306" s="5">
        <v>7200</v>
      </c>
      <c r="G306" s="1" t="s">
        <v>4922</v>
      </c>
      <c r="H306" s="1" t="s">
        <v>553</v>
      </c>
      <c r="I306" s="1" t="s">
        <v>2805</v>
      </c>
      <c r="J306" s="5">
        <v>72000</v>
      </c>
      <c r="K306" s="1" t="s">
        <v>3394</v>
      </c>
      <c r="L306" s="5">
        <v>360</v>
      </c>
      <c r="M306" s="1" t="s">
        <v>2308</v>
      </c>
      <c r="N306" s="1" t="s">
        <v>3403</v>
      </c>
      <c r="O306" s="1" t="s">
        <v>2521</v>
      </c>
      <c r="P306" s="1" t="s">
        <v>3956</v>
      </c>
      <c r="Q306" s="1" t="s">
        <v>3264</v>
      </c>
      <c r="R306" s="1" t="s">
        <v>4309</v>
      </c>
      <c r="S306" s="1" t="s">
        <v>4937</v>
      </c>
      <c r="T306" s="6">
        <v>44593</v>
      </c>
      <c r="U306" s="6">
        <v>44600</v>
      </c>
      <c r="V306" s="7">
        <v>0</v>
      </c>
      <c r="W306" s="6">
        <v>44603</v>
      </c>
      <c r="X306" s="7">
        <v>0</v>
      </c>
      <c r="Y306" s="1" t="s">
        <v>4860</v>
      </c>
      <c r="Z306" s="5">
        <v>340</v>
      </c>
      <c r="AA306" s="1" t="s">
        <v>3403</v>
      </c>
      <c r="AB306" s="1"/>
      <c r="AC306" s="1"/>
      <c r="AD306" s="1"/>
      <c r="AE306" s="1" t="s">
        <v>3712</v>
      </c>
      <c r="AF306" s="1" t="s">
        <v>9</v>
      </c>
      <c r="AG306" s="1" t="s">
        <v>9</v>
      </c>
      <c r="AH306" s="6">
        <v>44621</v>
      </c>
      <c r="AI306" s="6">
        <v>44926</v>
      </c>
    </row>
    <row r="307" spans="1:35" x14ac:dyDescent="0.3">
      <c r="A307" s="1" t="s">
        <v>2176</v>
      </c>
      <c r="B307" s="2" t="str">
        <f>HYPERLINK("https://my.zakupki.prom.ua/remote/dispatcher/state_purchase_view/34692601")</f>
        <v>https://my.zakupki.prom.ua/remote/dispatcher/state_purchase_view/34692601</v>
      </c>
      <c r="C307" s="1" t="s">
        <v>3445</v>
      </c>
      <c r="D307" s="1" t="s">
        <v>1232</v>
      </c>
      <c r="E307" s="4">
        <v>1</v>
      </c>
      <c r="F307" s="5">
        <v>1197000</v>
      </c>
      <c r="G307" s="1" t="s">
        <v>4940</v>
      </c>
      <c r="H307" s="1" t="s">
        <v>1027</v>
      </c>
      <c r="I307" s="1" t="s">
        <v>4009</v>
      </c>
      <c r="J307" s="5">
        <v>1197000</v>
      </c>
      <c r="K307" s="1" t="s">
        <v>3394</v>
      </c>
      <c r="L307" s="5">
        <v>11970</v>
      </c>
      <c r="M307" s="1" t="s">
        <v>2308</v>
      </c>
      <c r="N307" s="1" t="s">
        <v>3403</v>
      </c>
      <c r="O307" s="1" t="s">
        <v>2521</v>
      </c>
      <c r="P307" s="1" t="s">
        <v>2515</v>
      </c>
      <c r="Q307" s="1" t="s">
        <v>3504</v>
      </c>
      <c r="R307" s="1" t="s">
        <v>4400</v>
      </c>
      <c r="S307" s="1" t="s">
        <v>4971</v>
      </c>
      <c r="T307" s="6">
        <v>44593</v>
      </c>
      <c r="U307" s="6">
        <v>44593</v>
      </c>
      <c r="V307" s="7">
        <v>0.57867315106481476</v>
      </c>
      <c r="W307" s="6">
        <v>44610</v>
      </c>
      <c r="X307" s="7">
        <v>0.41666666666666669</v>
      </c>
      <c r="Y307" s="8">
        <v>44613.564097222225</v>
      </c>
      <c r="Z307" s="5">
        <v>1700</v>
      </c>
      <c r="AA307" s="1" t="s">
        <v>3403</v>
      </c>
      <c r="AB307" s="1"/>
      <c r="AC307" s="1"/>
      <c r="AD307" s="1"/>
      <c r="AE307" s="1" t="s">
        <v>3743</v>
      </c>
      <c r="AF307" s="1" t="s">
        <v>9</v>
      </c>
      <c r="AG307" s="4">
        <v>2</v>
      </c>
      <c r="AH307" s="6">
        <v>44642</v>
      </c>
      <c r="AI307" s="6">
        <v>45016</v>
      </c>
    </row>
    <row r="308" spans="1:35" x14ac:dyDescent="0.3">
      <c r="A308" s="1" t="s">
        <v>2175</v>
      </c>
      <c r="B308" s="2" t="str">
        <f>HYPERLINK("https://my.zakupki.prom.ua/remote/dispatcher/state_purchase_view/34692568")</f>
        <v>https://my.zakupki.prom.ua/remote/dispatcher/state_purchase_view/34692568</v>
      </c>
      <c r="C308" s="1" t="s">
        <v>2400</v>
      </c>
      <c r="D308" s="1" t="s">
        <v>373</v>
      </c>
      <c r="E308" s="4">
        <v>120000</v>
      </c>
      <c r="F308" s="5">
        <v>33.6</v>
      </c>
      <c r="G308" s="1" t="s">
        <v>4908</v>
      </c>
      <c r="H308" s="1" t="s">
        <v>815</v>
      </c>
      <c r="I308" s="1" t="s">
        <v>2583</v>
      </c>
      <c r="J308" s="5">
        <v>4032000</v>
      </c>
      <c r="K308" s="1" t="s">
        <v>3394</v>
      </c>
      <c r="L308" s="5">
        <v>20160</v>
      </c>
      <c r="M308" s="1" t="s">
        <v>2308</v>
      </c>
      <c r="N308" s="1" t="s">
        <v>3983</v>
      </c>
      <c r="O308" s="1" t="s">
        <v>2521</v>
      </c>
      <c r="P308" s="1" t="s">
        <v>2515</v>
      </c>
      <c r="Q308" s="1" t="s">
        <v>2761</v>
      </c>
      <c r="R308" s="1" t="s">
        <v>4536</v>
      </c>
      <c r="S308" s="1" t="s">
        <v>4971</v>
      </c>
      <c r="T308" s="6">
        <v>44593</v>
      </c>
      <c r="U308" s="6">
        <v>44593</v>
      </c>
      <c r="V308" s="7">
        <v>0.57811718202546292</v>
      </c>
      <c r="W308" s="6">
        <v>44609</v>
      </c>
      <c r="X308" s="7">
        <v>0.5</v>
      </c>
      <c r="Y308" s="8">
        <v>44610.611550925925</v>
      </c>
      <c r="Z308" s="5">
        <v>3400</v>
      </c>
      <c r="AA308" s="1" t="s">
        <v>3403</v>
      </c>
      <c r="AB308" s="1"/>
      <c r="AC308" s="1"/>
      <c r="AD308" s="1"/>
      <c r="AE308" s="1" t="s">
        <v>3778</v>
      </c>
      <c r="AF308" s="1" t="s">
        <v>9</v>
      </c>
      <c r="AG308" s="4">
        <v>20</v>
      </c>
      <c r="AH308" s="1"/>
      <c r="AI308" s="6">
        <v>44985</v>
      </c>
    </row>
    <row r="309" spans="1:35" x14ac:dyDescent="0.3">
      <c r="A309" s="1" t="s">
        <v>2174</v>
      </c>
      <c r="B309" s="2" t="str">
        <f>HYPERLINK("https://my.zakupki.prom.ua/remote/dispatcher/state_purchase_view/34692548")</f>
        <v>https://my.zakupki.prom.ua/remote/dispatcher/state_purchase_view/34692548</v>
      </c>
      <c r="C309" s="1" t="s">
        <v>4837</v>
      </c>
      <c r="D309" s="1" t="s">
        <v>758</v>
      </c>
      <c r="E309" s="4">
        <v>600</v>
      </c>
      <c r="F309" s="5">
        <v>75</v>
      </c>
      <c r="G309" s="1" t="s">
        <v>4991</v>
      </c>
      <c r="H309" s="1" t="s">
        <v>1112</v>
      </c>
      <c r="I309" s="1" t="s">
        <v>2903</v>
      </c>
      <c r="J309" s="5">
        <v>45000</v>
      </c>
      <c r="K309" s="1" t="s">
        <v>3394</v>
      </c>
      <c r="L309" s="5">
        <v>225</v>
      </c>
      <c r="M309" s="1" t="s">
        <v>2308</v>
      </c>
      <c r="N309" s="1" t="s">
        <v>3403</v>
      </c>
      <c r="O309" s="1" t="s">
        <v>2521</v>
      </c>
      <c r="P309" s="1" t="s">
        <v>3956</v>
      </c>
      <c r="Q309" s="1" t="s">
        <v>3504</v>
      </c>
      <c r="R309" s="1" t="s">
        <v>4165</v>
      </c>
      <c r="S309" s="1" t="s">
        <v>4937</v>
      </c>
      <c r="T309" s="6">
        <v>44593</v>
      </c>
      <c r="U309" s="6">
        <v>44599</v>
      </c>
      <c r="V309" s="7">
        <v>0.375</v>
      </c>
      <c r="W309" s="6">
        <v>44602</v>
      </c>
      <c r="X309" s="7">
        <v>0.41666666666666669</v>
      </c>
      <c r="Y309" s="1" t="s">
        <v>4860</v>
      </c>
      <c r="Z309" s="5">
        <v>119</v>
      </c>
      <c r="AA309" s="1" t="s">
        <v>3403</v>
      </c>
      <c r="AB309" s="1"/>
      <c r="AC309" s="1"/>
      <c r="AD309" s="1"/>
      <c r="AE309" s="1" t="s">
        <v>3765</v>
      </c>
      <c r="AF309" s="1" t="s">
        <v>9</v>
      </c>
      <c r="AG309" s="1" t="s">
        <v>9</v>
      </c>
      <c r="AH309" s="1"/>
      <c r="AI309" s="6">
        <v>44651</v>
      </c>
    </row>
    <row r="310" spans="1:35" x14ac:dyDescent="0.3">
      <c r="A310" s="1" t="s">
        <v>2164</v>
      </c>
      <c r="B310" s="2" t="str">
        <f>HYPERLINK("https://my.zakupki.prom.ua/remote/dispatcher/state_purchase_view/34692530")</f>
        <v>https://my.zakupki.prom.ua/remote/dispatcher/state_purchase_view/34692530</v>
      </c>
      <c r="C310" s="1" t="s">
        <v>2818</v>
      </c>
      <c r="D310" s="1" t="s">
        <v>827</v>
      </c>
      <c r="E310" s="4">
        <v>236</v>
      </c>
      <c r="F310" s="5">
        <v>175.78</v>
      </c>
      <c r="G310" s="1" t="s">
        <v>4989</v>
      </c>
      <c r="H310" s="1" t="s">
        <v>353</v>
      </c>
      <c r="I310" s="1" t="s">
        <v>2586</v>
      </c>
      <c r="J310" s="5">
        <v>41484.199999999997</v>
      </c>
      <c r="K310" s="1" t="s">
        <v>3394</v>
      </c>
      <c r="L310" s="5">
        <v>207.42</v>
      </c>
      <c r="M310" s="1" t="s">
        <v>2308</v>
      </c>
      <c r="N310" s="1" t="s">
        <v>3403</v>
      </c>
      <c r="O310" s="1" t="s">
        <v>2521</v>
      </c>
      <c r="P310" s="1" t="s">
        <v>2762</v>
      </c>
      <c r="Q310" s="1" t="s">
        <v>4794</v>
      </c>
      <c r="R310" s="1" t="s">
        <v>4081</v>
      </c>
      <c r="S310" s="1" t="s">
        <v>4937</v>
      </c>
      <c r="T310" s="6">
        <v>44593</v>
      </c>
      <c r="U310" s="6">
        <v>44597</v>
      </c>
      <c r="V310" s="7">
        <v>0.29166666666666669</v>
      </c>
      <c r="W310" s="6">
        <v>44601</v>
      </c>
      <c r="X310" s="7">
        <v>0.29166666666666669</v>
      </c>
      <c r="Y310" s="1" t="s">
        <v>4860</v>
      </c>
      <c r="Z310" s="5">
        <v>119</v>
      </c>
      <c r="AA310" s="1" t="s">
        <v>3403</v>
      </c>
      <c r="AB310" s="1"/>
      <c r="AC310" s="1"/>
      <c r="AD310" s="1"/>
      <c r="AE310" s="1" t="s">
        <v>3794</v>
      </c>
      <c r="AF310" s="1" t="s">
        <v>9</v>
      </c>
      <c r="AG310" s="1" t="s">
        <v>9</v>
      </c>
      <c r="AH310" s="1"/>
      <c r="AI310" s="1"/>
    </row>
    <row r="311" spans="1:35" x14ac:dyDescent="0.3">
      <c r="A311" s="1" t="s">
        <v>1467</v>
      </c>
      <c r="B311" s="2" t="str">
        <f>HYPERLINK("https://my.zakupki.prom.ua/remote/dispatcher/state_purchase_view/34692528")</f>
        <v>https://my.zakupki.prom.ua/remote/dispatcher/state_purchase_view/34692528</v>
      </c>
      <c r="C311" s="1" t="s">
        <v>4884</v>
      </c>
      <c r="D311" s="1" t="s">
        <v>483</v>
      </c>
      <c r="E311" s="1" t="s">
        <v>4903</v>
      </c>
      <c r="F311" s="1" t="s">
        <v>4903</v>
      </c>
      <c r="G311" s="1" t="s">
        <v>4903</v>
      </c>
      <c r="H311" s="1" t="s">
        <v>188</v>
      </c>
      <c r="I311" s="1" t="s">
        <v>2999</v>
      </c>
      <c r="J311" s="5">
        <v>125500</v>
      </c>
      <c r="K311" s="1" t="s">
        <v>3394</v>
      </c>
      <c r="L311" s="5">
        <v>700</v>
      </c>
      <c r="M311" s="1" t="s">
        <v>2308</v>
      </c>
      <c r="N311" s="1" t="s">
        <v>3983</v>
      </c>
      <c r="O311" s="1" t="s">
        <v>875</v>
      </c>
      <c r="P311" s="1" t="s">
        <v>3956</v>
      </c>
      <c r="Q311" s="1" t="s">
        <v>4794</v>
      </c>
      <c r="R311" s="1" t="s">
        <v>4478</v>
      </c>
      <c r="S311" s="1" t="s">
        <v>4937</v>
      </c>
      <c r="T311" s="6">
        <v>44593</v>
      </c>
      <c r="U311" s="6">
        <v>44600</v>
      </c>
      <c r="V311" s="7">
        <v>0</v>
      </c>
      <c r="W311" s="6">
        <v>44603</v>
      </c>
      <c r="X311" s="7">
        <v>0</v>
      </c>
      <c r="Y311" s="1" t="s">
        <v>4860</v>
      </c>
      <c r="Z311" s="5">
        <v>340</v>
      </c>
      <c r="AA311" s="1" t="s">
        <v>3403</v>
      </c>
      <c r="AB311" s="1"/>
      <c r="AC311" s="1"/>
      <c r="AD311" s="1"/>
      <c r="AE311" s="1" t="s">
        <v>3774</v>
      </c>
      <c r="AF311" s="1" t="s">
        <v>9</v>
      </c>
      <c r="AG311" s="1" t="s">
        <v>9</v>
      </c>
      <c r="AH311" s="1"/>
      <c r="AI311" s="6">
        <v>44926</v>
      </c>
    </row>
    <row r="312" spans="1:35" x14ac:dyDescent="0.3">
      <c r="A312" s="1" t="s">
        <v>1468</v>
      </c>
      <c r="B312" s="2" t="str">
        <f>HYPERLINK("https://my.zakupki.prom.ua/remote/dispatcher/state_purchase_view/34692511")</f>
        <v>https://my.zakupki.prom.ua/remote/dispatcher/state_purchase_view/34692511</v>
      </c>
      <c r="C312" s="1" t="s">
        <v>3610</v>
      </c>
      <c r="D312" s="1" t="s">
        <v>1282</v>
      </c>
      <c r="E312" s="4">
        <v>1</v>
      </c>
      <c r="F312" s="5">
        <v>1653.12</v>
      </c>
      <c r="G312" s="1" t="s">
        <v>4940</v>
      </c>
      <c r="H312" s="1" t="s">
        <v>1078</v>
      </c>
      <c r="I312" s="1" t="s">
        <v>2542</v>
      </c>
      <c r="J312" s="5">
        <v>1653.12</v>
      </c>
      <c r="K312" s="1" t="s">
        <v>3394</v>
      </c>
      <c r="L312" s="5">
        <v>8.27</v>
      </c>
      <c r="M312" s="1" t="s">
        <v>2308</v>
      </c>
      <c r="N312" s="1" t="s">
        <v>3983</v>
      </c>
      <c r="O312" s="1" t="s">
        <v>2521</v>
      </c>
      <c r="P312" s="1" t="s">
        <v>2515</v>
      </c>
      <c r="Q312" s="1" t="s">
        <v>3264</v>
      </c>
      <c r="R312" s="1" t="s">
        <v>4561</v>
      </c>
      <c r="S312" s="1" t="s">
        <v>4971</v>
      </c>
      <c r="T312" s="6">
        <v>44593</v>
      </c>
      <c r="U312" s="6">
        <v>44593</v>
      </c>
      <c r="V312" s="7">
        <v>0.57210832697916669</v>
      </c>
      <c r="W312" s="6">
        <v>44609</v>
      </c>
      <c r="X312" s="7">
        <v>0.41666666666666669</v>
      </c>
      <c r="Y312" s="8">
        <v>44610.647569444445</v>
      </c>
      <c r="Z312" s="5">
        <v>17</v>
      </c>
      <c r="AA312" s="1" t="s">
        <v>3403</v>
      </c>
      <c r="AB312" s="1"/>
      <c r="AC312" s="1"/>
      <c r="AD312" s="1"/>
      <c r="AE312" s="1" t="s">
        <v>3743</v>
      </c>
      <c r="AF312" s="1" t="s">
        <v>9</v>
      </c>
      <c r="AG312" s="4">
        <v>4</v>
      </c>
      <c r="AH312" s="1"/>
      <c r="AI312" s="6">
        <v>44926</v>
      </c>
    </row>
    <row r="313" spans="1:35" x14ac:dyDescent="0.3">
      <c r="A313" s="1" t="s">
        <v>1768</v>
      </c>
      <c r="B313" s="2" t="str">
        <f>HYPERLINK("https://my.zakupki.prom.ua/remote/dispatcher/state_purchase_lot_view/740757")</f>
        <v>https://my.zakupki.prom.ua/remote/dispatcher/state_purchase_lot_view/740757</v>
      </c>
      <c r="C313" s="1" t="s">
        <v>4862</v>
      </c>
      <c r="D313" s="1" t="s">
        <v>770</v>
      </c>
      <c r="E313" s="1" t="s">
        <v>4903</v>
      </c>
      <c r="F313" s="1" t="s">
        <v>4903</v>
      </c>
      <c r="G313" s="1" t="s">
        <v>4903</v>
      </c>
      <c r="H313" s="1" t="s">
        <v>908</v>
      </c>
      <c r="I313" s="1" t="s">
        <v>3145</v>
      </c>
      <c r="J313" s="5">
        <v>1159369</v>
      </c>
      <c r="K313" s="5">
        <v>57696</v>
      </c>
      <c r="L313" s="5">
        <v>288.48</v>
      </c>
      <c r="M313" s="1" t="s">
        <v>2308</v>
      </c>
      <c r="N313" s="1" t="s">
        <v>3983</v>
      </c>
      <c r="O313" s="1" t="s">
        <v>2521</v>
      </c>
      <c r="P313" s="1" t="s">
        <v>2515</v>
      </c>
      <c r="Q313" s="1" t="s">
        <v>2756</v>
      </c>
      <c r="R313" s="1" t="s">
        <v>4558</v>
      </c>
      <c r="S313" s="1" t="s">
        <v>4971</v>
      </c>
      <c r="T313" s="6">
        <v>44593</v>
      </c>
      <c r="U313" s="6">
        <v>44593</v>
      </c>
      <c r="V313" s="7">
        <v>0.57366920417824074</v>
      </c>
      <c r="W313" s="6">
        <v>44609</v>
      </c>
      <c r="X313" s="7">
        <v>0</v>
      </c>
      <c r="Y313" s="8">
        <v>44609.545127314814</v>
      </c>
      <c r="Z313" s="5">
        <v>340</v>
      </c>
      <c r="AA313" s="1" t="s">
        <v>3403</v>
      </c>
      <c r="AB313" s="1"/>
      <c r="AC313" s="1"/>
      <c r="AD313" s="1"/>
      <c r="AE313" s="1" t="s">
        <v>3781</v>
      </c>
      <c r="AF313" s="1" t="s">
        <v>9</v>
      </c>
      <c r="AG313" s="4">
        <v>9</v>
      </c>
      <c r="AH313" s="1"/>
      <c r="AI313" s="6">
        <v>44926</v>
      </c>
    </row>
    <row r="314" spans="1:35" x14ac:dyDescent="0.3">
      <c r="A314" s="1" t="s">
        <v>1768</v>
      </c>
      <c r="B314" s="2" t="str">
        <f>HYPERLINK("https://my.zakupki.prom.ua/remote/dispatcher/state_purchase_lot_view/740758")</f>
        <v>https://my.zakupki.prom.ua/remote/dispatcher/state_purchase_lot_view/740758</v>
      </c>
      <c r="C314" s="1" t="s">
        <v>4866</v>
      </c>
      <c r="D314" s="1" t="s">
        <v>773</v>
      </c>
      <c r="E314" s="4">
        <v>16</v>
      </c>
      <c r="F314" s="5">
        <v>290</v>
      </c>
      <c r="G314" s="1" t="s">
        <v>4991</v>
      </c>
      <c r="H314" s="1" t="s">
        <v>908</v>
      </c>
      <c r="I314" s="1" t="s">
        <v>3145</v>
      </c>
      <c r="J314" s="5">
        <v>1159369</v>
      </c>
      <c r="K314" s="5">
        <v>4640</v>
      </c>
      <c r="L314" s="5">
        <v>23.2</v>
      </c>
      <c r="M314" s="1" t="s">
        <v>2308</v>
      </c>
      <c r="N314" s="1" t="s">
        <v>3983</v>
      </c>
      <c r="O314" s="1" t="s">
        <v>2521</v>
      </c>
      <c r="P314" s="1" t="s">
        <v>2515</v>
      </c>
      <c r="Q314" s="1" t="s">
        <v>2756</v>
      </c>
      <c r="R314" s="1" t="s">
        <v>4558</v>
      </c>
      <c r="S314" s="1" t="s">
        <v>4971</v>
      </c>
      <c r="T314" s="6">
        <v>44593</v>
      </c>
      <c r="U314" s="6">
        <v>44593</v>
      </c>
      <c r="V314" s="7">
        <v>0.57366920417824074</v>
      </c>
      <c r="W314" s="6">
        <v>44609</v>
      </c>
      <c r="X314" s="7">
        <v>0</v>
      </c>
      <c r="Y314" s="8">
        <v>44609.564965277779</v>
      </c>
      <c r="Z314" s="5">
        <v>17</v>
      </c>
      <c r="AA314" s="1" t="s">
        <v>3403</v>
      </c>
      <c r="AB314" s="1"/>
      <c r="AC314" s="1"/>
      <c r="AD314" s="1"/>
      <c r="AE314" s="1" t="s">
        <v>3781</v>
      </c>
      <c r="AF314" s="1" t="s">
        <v>9</v>
      </c>
      <c r="AG314" s="4">
        <v>9</v>
      </c>
      <c r="AH314" s="1"/>
      <c r="AI314" s="6">
        <v>44926</v>
      </c>
    </row>
    <row r="315" spans="1:35" x14ac:dyDescent="0.3">
      <c r="A315" s="1" t="s">
        <v>1768</v>
      </c>
      <c r="B315" s="2" t="str">
        <f>HYPERLINK("https://my.zakupki.prom.ua/remote/dispatcher/state_purchase_lot_view/740759")</f>
        <v>https://my.zakupki.prom.ua/remote/dispatcher/state_purchase_lot_view/740759</v>
      </c>
      <c r="C315" s="1" t="s">
        <v>4864</v>
      </c>
      <c r="D315" s="1" t="s">
        <v>771</v>
      </c>
      <c r="E315" s="1" t="s">
        <v>4903</v>
      </c>
      <c r="F315" s="1" t="s">
        <v>4903</v>
      </c>
      <c r="G315" s="1" t="s">
        <v>4903</v>
      </c>
      <c r="H315" s="1" t="s">
        <v>908</v>
      </c>
      <c r="I315" s="1" t="s">
        <v>3145</v>
      </c>
      <c r="J315" s="5">
        <v>1159369</v>
      </c>
      <c r="K315" s="5">
        <v>1060025</v>
      </c>
      <c r="L315" s="5">
        <v>5300.13</v>
      </c>
      <c r="M315" s="1" t="s">
        <v>2308</v>
      </c>
      <c r="N315" s="1" t="s">
        <v>3983</v>
      </c>
      <c r="O315" s="1" t="s">
        <v>2521</v>
      </c>
      <c r="P315" s="1" t="s">
        <v>2515</v>
      </c>
      <c r="Q315" s="1" t="s">
        <v>2756</v>
      </c>
      <c r="R315" s="1" t="s">
        <v>4558</v>
      </c>
      <c r="S315" s="1" t="s">
        <v>4971</v>
      </c>
      <c r="T315" s="6">
        <v>44593</v>
      </c>
      <c r="U315" s="6">
        <v>44593</v>
      </c>
      <c r="V315" s="7">
        <v>0.57366920417824074</v>
      </c>
      <c r="W315" s="6">
        <v>44609</v>
      </c>
      <c r="X315" s="7">
        <v>0</v>
      </c>
      <c r="Y315" s="8">
        <v>44609.602824074071</v>
      </c>
      <c r="Z315" s="5">
        <v>1700</v>
      </c>
      <c r="AA315" s="1" t="s">
        <v>3403</v>
      </c>
      <c r="AB315" s="1"/>
      <c r="AC315" s="1"/>
      <c r="AD315" s="1"/>
      <c r="AE315" s="1" t="s">
        <v>3781</v>
      </c>
      <c r="AF315" s="1" t="s">
        <v>9</v>
      </c>
      <c r="AG315" s="4">
        <v>9</v>
      </c>
      <c r="AH315" s="1"/>
      <c r="AI315" s="6">
        <v>44926</v>
      </c>
    </row>
    <row r="316" spans="1:35" x14ac:dyDescent="0.3">
      <c r="A316" s="1" t="s">
        <v>1768</v>
      </c>
      <c r="B316" s="2" t="str">
        <f>HYPERLINK("https://my.zakupki.prom.ua/remote/dispatcher/state_purchase_lot_view/740760")</f>
        <v>https://my.zakupki.prom.ua/remote/dispatcher/state_purchase_lot_view/740760</v>
      </c>
      <c r="C316" s="1" t="s">
        <v>4865</v>
      </c>
      <c r="D316" s="1" t="s">
        <v>769</v>
      </c>
      <c r="E316" s="1" t="s">
        <v>4903</v>
      </c>
      <c r="F316" s="1" t="s">
        <v>4903</v>
      </c>
      <c r="G316" s="1" t="s">
        <v>4903</v>
      </c>
      <c r="H316" s="1" t="s">
        <v>908</v>
      </c>
      <c r="I316" s="1" t="s">
        <v>3145</v>
      </c>
      <c r="J316" s="5">
        <v>1159369</v>
      </c>
      <c r="K316" s="5">
        <v>1800</v>
      </c>
      <c r="L316" s="5">
        <v>9</v>
      </c>
      <c r="M316" s="1" t="s">
        <v>2308</v>
      </c>
      <c r="N316" s="1" t="s">
        <v>3983</v>
      </c>
      <c r="O316" s="1" t="s">
        <v>2521</v>
      </c>
      <c r="P316" s="1" t="s">
        <v>2515</v>
      </c>
      <c r="Q316" s="1" t="s">
        <v>2756</v>
      </c>
      <c r="R316" s="1" t="s">
        <v>4558</v>
      </c>
      <c r="S316" s="1" t="s">
        <v>4971</v>
      </c>
      <c r="T316" s="6">
        <v>44593</v>
      </c>
      <c r="U316" s="6">
        <v>44593</v>
      </c>
      <c r="V316" s="7">
        <v>0.57366920417824074</v>
      </c>
      <c r="W316" s="6">
        <v>44609</v>
      </c>
      <c r="X316" s="7">
        <v>0</v>
      </c>
      <c r="Y316" s="8">
        <v>44609.62159722222</v>
      </c>
      <c r="Z316" s="5">
        <v>17</v>
      </c>
      <c r="AA316" s="1" t="s">
        <v>3403</v>
      </c>
      <c r="AB316" s="1"/>
      <c r="AC316" s="1"/>
      <c r="AD316" s="1"/>
      <c r="AE316" s="1" t="s">
        <v>3781</v>
      </c>
      <c r="AF316" s="1" t="s">
        <v>9</v>
      </c>
      <c r="AG316" s="4">
        <v>9</v>
      </c>
      <c r="AH316" s="1"/>
      <c r="AI316" s="6">
        <v>44926</v>
      </c>
    </row>
    <row r="317" spans="1:35" x14ac:dyDescent="0.3">
      <c r="A317" s="1" t="s">
        <v>1768</v>
      </c>
      <c r="B317" s="2" t="str">
        <f>HYPERLINK("https://my.zakupki.prom.ua/remote/dispatcher/state_purchase_lot_view/740761")</f>
        <v>https://my.zakupki.prom.ua/remote/dispatcher/state_purchase_lot_view/740761</v>
      </c>
      <c r="C317" s="1" t="s">
        <v>4863</v>
      </c>
      <c r="D317" s="1" t="s">
        <v>771</v>
      </c>
      <c r="E317" s="1" t="s">
        <v>4903</v>
      </c>
      <c r="F317" s="1" t="s">
        <v>4903</v>
      </c>
      <c r="G317" s="1" t="s">
        <v>4903</v>
      </c>
      <c r="H317" s="1" t="s">
        <v>908</v>
      </c>
      <c r="I317" s="1" t="s">
        <v>3145</v>
      </c>
      <c r="J317" s="5">
        <v>1159369</v>
      </c>
      <c r="K317" s="5">
        <v>35208</v>
      </c>
      <c r="L317" s="5">
        <v>176.04</v>
      </c>
      <c r="M317" s="1" t="s">
        <v>2308</v>
      </c>
      <c r="N317" s="1" t="s">
        <v>3983</v>
      </c>
      <c r="O317" s="1" t="s">
        <v>2521</v>
      </c>
      <c r="P317" s="1" t="s">
        <v>2515</v>
      </c>
      <c r="Q317" s="1" t="s">
        <v>2756</v>
      </c>
      <c r="R317" s="1" t="s">
        <v>4558</v>
      </c>
      <c r="S317" s="1" t="s">
        <v>4971</v>
      </c>
      <c r="T317" s="6">
        <v>44593</v>
      </c>
      <c r="U317" s="6">
        <v>44593</v>
      </c>
      <c r="V317" s="7">
        <v>0.57366920417824074</v>
      </c>
      <c r="W317" s="6">
        <v>44609</v>
      </c>
      <c r="X317" s="7">
        <v>0</v>
      </c>
      <c r="Y317" s="8">
        <v>44609.628113425926</v>
      </c>
      <c r="Z317" s="5">
        <v>119</v>
      </c>
      <c r="AA317" s="1" t="s">
        <v>3403</v>
      </c>
      <c r="AB317" s="1"/>
      <c r="AC317" s="1"/>
      <c r="AD317" s="1"/>
      <c r="AE317" s="1" t="s">
        <v>3781</v>
      </c>
      <c r="AF317" s="1" t="s">
        <v>9</v>
      </c>
      <c r="AG317" s="4">
        <v>9</v>
      </c>
      <c r="AH317" s="1"/>
      <c r="AI317" s="6">
        <v>44926</v>
      </c>
    </row>
    <row r="318" spans="1:35" x14ac:dyDescent="0.3">
      <c r="A318" s="1" t="s">
        <v>1471</v>
      </c>
      <c r="B318" s="2" t="str">
        <f>HYPERLINK("https://my.zakupki.prom.ua/remote/dispatcher/state_purchase_view/34692449")</f>
        <v>https://my.zakupki.prom.ua/remote/dispatcher/state_purchase_view/34692449</v>
      </c>
      <c r="C318" s="1" t="s">
        <v>3031</v>
      </c>
      <c r="D318" s="1" t="s">
        <v>611</v>
      </c>
      <c r="E318" s="4">
        <v>2000</v>
      </c>
      <c r="F318" s="5">
        <v>432</v>
      </c>
      <c r="G318" s="1" t="s">
        <v>4989</v>
      </c>
      <c r="H318" s="1" t="s">
        <v>111</v>
      </c>
      <c r="I318" s="1" t="s">
        <v>2900</v>
      </c>
      <c r="J318" s="5">
        <v>864000</v>
      </c>
      <c r="K318" s="1" t="s">
        <v>3394</v>
      </c>
      <c r="L318" s="5">
        <v>4320</v>
      </c>
      <c r="M318" s="1" t="s">
        <v>2308</v>
      </c>
      <c r="N318" s="1" t="s">
        <v>3983</v>
      </c>
      <c r="O318" s="1" t="s">
        <v>2521</v>
      </c>
      <c r="P318" s="1" t="s">
        <v>2515</v>
      </c>
      <c r="Q318" s="1" t="s">
        <v>4805</v>
      </c>
      <c r="R318" s="1" t="s">
        <v>4081</v>
      </c>
      <c r="S318" s="1" t="s">
        <v>4971</v>
      </c>
      <c r="T318" s="6">
        <v>44593</v>
      </c>
      <c r="U318" s="6">
        <v>44593</v>
      </c>
      <c r="V318" s="7">
        <v>0.57458182879629627</v>
      </c>
      <c r="W318" s="6">
        <v>44609</v>
      </c>
      <c r="X318" s="7">
        <v>0.75</v>
      </c>
      <c r="Y318" s="8">
        <v>44610.525625000002</v>
      </c>
      <c r="Z318" s="5">
        <v>510</v>
      </c>
      <c r="AA318" s="1" t="s">
        <v>3403</v>
      </c>
      <c r="AB318" s="1"/>
      <c r="AC318" s="1"/>
      <c r="AD318" s="1"/>
      <c r="AE318" s="1" t="s">
        <v>3787</v>
      </c>
      <c r="AF318" s="1" t="s">
        <v>9</v>
      </c>
      <c r="AG318" s="4">
        <v>3</v>
      </c>
      <c r="AH318" s="1"/>
      <c r="AI318" s="6">
        <v>44926</v>
      </c>
    </row>
    <row r="319" spans="1:35" x14ac:dyDescent="0.3">
      <c r="A319" s="1" t="s">
        <v>1392</v>
      </c>
      <c r="B319" s="2" t="str">
        <f>HYPERLINK("https://my.zakupki.prom.ua/remote/dispatcher/state_purchase_view/34692437")</f>
        <v>https://my.zakupki.prom.ua/remote/dispatcher/state_purchase_view/34692437</v>
      </c>
      <c r="C319" s="1" t="s">
        <v>3601</v>
      </c>
      <c r="D319" s="1" t="s">
        <v>1282</v>
      </c>
      <c r="E319" s="4">
        <v>1911</v>
      </c>
      <c r="F319" s="5">
        <v>183.34</v>
      </c>
      <c r="G319" s="1" t="s">
        <v>4921</v>
      </c>
      <c r="H319" s="1" t="s">
        <v>147</v>
      </c>
      <c r="I319" s="1" t="s">
        <v>4747</v>
      </c>
      <c r="J319" s="5">
        <v>350362.74</v>
      </c>
      <c r="K319" s="1" t="s">
        <v>3394</v>
      </c>
      <c r="L319" s="5">
        <v>1751.81</v>
      </c>
      <c r="M319" s="1" t="s">
        <v>2308</v>
      </c>
      <c r="N319" s="1" t="s">
        <v>3983</v>
      </c>
      <c r="O319" s="1" t="s">
        <v>2521</v>
      </c>
      <c r="P319" s="1" t="s">
        <v>2515</v>
      </c>
      <c r="Q319" s="1" t="s">
        <v>3035</v>
      </c>
      <c r="R319" s="1" t="s">
        <v>4081</v>
      </c>
      <c r="S319" s="1" t="s">
        <v>4971</v>
      </c>
      <c r="T319" s="6">
        <v>44593</v>
      </c>
      <c r="U319" s="6">
        <v>44593</v>
      </c>
      <c r="V319" s="7">
        <v>0.44997562895833332</v>
      </c>
      <c r="W319" s="6">
        <v>44609</v>
      </c>
      <c r="X319" s="7">
        <v>0</v>
      </c>
      <c r="Y319" s="8">
        <v>44609.657696759263</v>
      </c>
      <c r="Z319" s="5">
        <v>510</v>
      </c>
      <c r="AA319" s="1" t="s">
        <v>3403</v>
      </c>
      <c r="AB319" s="1"/>
      <c r="AC319" s="1"/>
      <c r="AD319" s="1"/>
      <c r="AE319" s="1" t="s">
        <v>3717</v>
      </c>
      <c r="AF319" s="1" t="s">
        <v>9</v>
      </c>
      <c r="AG319" s="4">
        <v>16</v>
      </c>
      <c r="AH319" s="1"/>
      <c r="AI319" s="6">
        <v>44926</v>
      </c>
    </row>
    <row r="320" spans="1:35" x14ac:dyDescent="0.3">
      <c r="A320" s="1" t="s">
        <v>2172</v>
      </c>
      <c r="B320" s="2" t="str">
        <f>HYPERLINK("https://my.zakupki.prom.ua/remote/dispatcher/state_purchase_lot_view/740754")</f>
        <v>https://my.zakupki.prom.ua/remote/dispatcher/state_purchase_lot_view/740754</v>
      </c>
      <c r="C320" s="1" t="s">
        <v>4771</v>
      </c>
      <c r="D320" s="1" t="s">
        <v>801</v>
      </c>
      <c r="E320" s="4">
        <v>60</v>
      </c>
      <c r="F320" s="5">
        <v>60916.67</v>
      </c>
      <c r="G320" s="1" t="s">
        <v>4924</v>
      </c>
      <c r="H320" s="1" t="s">
        <v>71</v>
      </c>
      <c r="I320" s="1" t="s">
        <v>3092</v>
      </c>
      <c r="J320" s="5">
        <v>4168000</v>
      </c>
      <c r="K320" s="5">
        <v>3655000</v>
      </c>
      <c r="L320" s="5">
        <v>18275</v>
      </c>
      <c r="M320" s="1" t="s">
        <v>2308</v>
      </c>
      <c r="N320" s="1" t="s">
        <v>3983</v>
      </c>
      <c r="O320" s="1" t="s">
        <v>2521</v>
      </c>
      <c r="P320" s="1" t="s">
        <v>2515</v>
      </c>
      <c r="Q320" s="1" t="s">
        <v>2796</v>
      </c>
      <c r="R320" s="1" t="s">
        <v>4221</v>
      </c>
      <c r="S320" s="1" t="s">
        <v>4971</v>
      </c>
      <c r="T320" s="6">
        <v>44593</v>
      </c>
      <c r="U320" s="6">
        <v>44593</v>
      </c>
      <c r="V320" s="7">
        <v>0.57693269099537037</v>
      </c>
      <c r="W320" s="6">
        <v>44609</v>
      </c>
      <c r="X320" s="7">
        <v>0.83333333333333337</v>
      </c>
      <c r="Y320" s="8">
        <v>44610.474421296298</v>
      </c>
      <c r="Z320" s="5">
        <v>1700</v>
      </c>
      <c r="AA320" s="1" t="s">
        <v>3403</v>
      </c>
      <c r="AB320" s="1"/>
      <c r="AC320" s="1"/>
      <c r="AD320" s="1"/>
      <c r="AE320" s="1" t="s">
        <v>3795</v>
      </c>
      <c r="AF320" s="1" t="s">
        <v>9</v>
      </c>
      <c r="AG320" s="4">
        <v>3</v>
      </c>
      <c r="AH320" s="6">
        <v>44621</v>
      </c>
      <c r="AI320" s="6">
        <v>44926</v>
      </c>
    </row>
    <row r="321" spans="1:35" x14ac:dyDescent="0.3">
      <c r="A321" s="1" t="s">
        <v>2172</v>
      </c>
      <c r="B321" s="2" t="str">
        <f>HYPERLINK("https://my.zakupki.prom.ua/remote/dispatcher/state_purchase_lot_view/740755")</f>
        <v>https://my.zakupki.prom.ua/remote/dispatcher/state_purchase_lot_view/740755</v>
      </c>
      <c r="C321" s="1" t="s">
        <v>4772</v>
      </c>
      <c r="D321" s="1" t="s">
        <v>801</v>
      </c>
      <c r="E321" s="4">
        <v>4</v>
      </c>
      <c r="F321" s="5">
        <v>28750</v>
      </c>
      <c r="G321" s="1" t="s">
        <v>4924</v>
      </c>
      <c r="H321" s="1" t="s">
        <v>71</v>
      </c>
      <c r="I321" s="1" t="s">
        <v>3092</v>
      </c>
      <c r="J321" s="5">
        <v>4168000</v>
      </c>
      <c r="K321" s="5">
        <v>115000</v>
      </c>
      <c r="L321" s="5">
        <v>575</v>
      </c>
      <c r="M321" s="1" t="s">
        <v>2308</v>
      </c>
      <c r="N321" s="1" t="s">
        <v>3983</v>
      </c>
      <c r="O321" s="1" t="s">
        <v>2521</v>
      </c>
      <c r="P321" s="1" t="s">
        <v>2515</v>
      </c>
      <c r="Q321" s="1" t="s">
        <v>2796</v>
      </c>
      <c r="R321" s="1" t="s">
        <v>4221</v>
      </c>
      <c r="S321" s="1" t="s">
        <v>4971</v>
      </c>
      <c r="T321" s="6">
        <v>44593</v>
      </c>
      <c r="U321" s="6">
        <v>44593</v>
      </c>
      <c r="V321" s="7">
        <v>0.57693269099537037</v>
      </c>
      <c r="W321" s="6">
        <v>44609</v>
      </c>
      <c r="X321" s="7">
        <v>0.83333333333333337</v>
      </c>
      <c r="Y321" s="8">
        <v>44610.497418981482</v>
      </c>
      <c r="Z321" s="5">
        <v>340</v>
      </c>
      <c r="AA321" s="1" t="s">
        <v>3403</v>
      </c>
      <c r="AB321" s="1"/>
      <c r="AC321" s="1"/>
      <c r="AD321" s="1"/>
      <c r="AE321" s="1" t="s">
        <v>3795</v>
      </c>
      <c r="AF321" s="1" t="s">
        <v>9</v>
      </c>
      <c r="AG321" s="4">
        <v>3</v>
      </c>
      <c r="AH321" s="6">
        <v>44621</v>
      </c>
      <c r="AI321" s="6">
        <v>44926</v>
      </c>
    </row>
    <row r="322" spans="1:35" x14ac:dyDescent="0.3">
      <c r="A322" s="1" t="s">
        <v>2172</v>
      </c>
      <c r="B322" s="2" t="str">
        <f>HYPERLINK("https://my.zakupki.prom.ua/remote/dispatcher/state_purchase_lot_view/740756")</f>
        <v>https://my.zakupki.prom.ua/remote/dispatcher/state_purchase_lot_view/740756</v>
      </c>
      <c r="C322" s="1" t="s">
        <v>4770</v>
      </c>
      <c r="D322" s="1" t="s">
        <v>804</v>
      </c>
      <c r="E322" s="4">
        <v>63</v>
      </c>
      <c r="F322" s="5">
        <v>6317.46</v>
      </c>
      <c r="G322" s="1" t="s">
        <v>4924</v>
      </c>
      <c r="H322" s="1" t="s">
        <v>71</v>
      </c>
      <c r="I322" s="1" t="s">
        <v>3092</v>
      </c>
      <c r="J322" s="5">
        <v>4168000</v>
      </c>
      <c r="K322" s="5">
        <v>398000</v>
      </c>
      <c r="L322" s="5">
        <v>1990</v>
      </c>
      <c r="M322" s="1" t="s">
        <v>2308</v>
      </c>
      <c r="N322" s="1" t="s">
        <v>3983</v>
      </c>
      <c r="O322" s="1" t="s">
        <v>2521</v>
      </c>
      <c r="P322" s="1" t="s">
        <v>2515</v>
      </c>
      <c r="Q322" s="1" t="s">
        <v>2796</v>
      </c>
      <c r="R322" s="1" t="s">
        <v>4221</v>
      </c>
      <c r="S322" s="1" t="s">
        <v>4971</v>
      </c>
      <c r="T322" s="6">
        <v>44593</v>
      </c>
      <c r="U322" s="6">
        <v>44593</v>
      </c>
      <c r="V322" s="7">
        <v>0.57693269099537037</v>
      </c>
      <c r="W322" s="6">
        <v>44609</v>
      </c>
      <c r="X322" s="7">
        <v>0.83333333333333337</v>
      </c>
      <c r="Y322" s="8">
        <v>44610.517129629632</v>
      </c>
      <c r="Z322" s="5">
        <v>510</v>
      </c>
      <c r="AA322" s="1" t="s">
        <v>3403</v>
      </c>
      <c r="AB322" s="1"/>
      <c r="AC322" s="1"/>
      <c r="AD322" s="1"/>
      <c r="AE322" s="1" t="s">
        <v>3795</v>
      </c>
      <c r="AF322" s="1" t="s">
        <v>9</v>
      </c>
      <c r="AG322" s="4">
        <v>3</v>
      </c>
      <c r="AH322" s="6">
        <v>44621</v>
      </c>
      <c r="AI322" s="6">
        <v>44926</v>
      </c>
    </row>
    <row r="323" spans="1:35" x14ac:dyDescent="0.3">
      <c r="A323" s="1" t="s">
        <v>2171</v>
      </c>
      <c r="B323" s="2" t="str">
        <f>HYPERLINK("https://my.zakupki.prom.ua/remote/dispatcher/state_purchase_view/34692158")</f>
        <v>https://my.zakupki.prom.ua/remote/dispatcher/state_purchase_view/34692158</v>
      </c>
      <c r="C323" s="1" t="s">
        <v>2419</v>
      </c>
      <c r="D323" s="1" t="s">
        <v>485</v>
      </c>
      <c r="E323" s="1" t="s">
        <v>4903</v>
      </c>
      <c r="F323" s="1" t="s">
        <v>4903</v>
      </c>
      <c r="G323" s="1" t="s">
        <v>4903</v>
      </c>
      <c r="H323" s="1" t="s">
        <v>980</v>
      </c>
      <c r="I323" s="1" t="s">
        <v>2502</v>
      </c>
      <c r="J323" s="5">
        <v>103226</v>
      </c>
      <c r="K323" s="1" t="s">
        <v>3394</v>
      </c>
      <c r="L323" s="5">
        <v>516.13</v>
      </c>
      <c r="M323" s="1" t="s">
        <v>2308</v>
      </c>
      <c r="N323" s="1" t="s">
        <v>3983</v>
      </c>
      <c r="O323" s="1" t="s">
        <v>2521</v>
      </c>
      <c r="P323" s="1" t="s">
        <v>3956</v>
      </c>
      <c r="Q323" s="1" t="s">
        <v>2756</v>
      </c>
      <c r="R323" s="1" t="s">
        <v>4081</v>
      </c>
      <c r="S323" s="1" t="s">
        <v>4937</v>
      </c>
      <c r="T323" s="6">
        <v>44593</v>
      </c>
      <c r="U323" s="6">
        <v>44600</v>
      </c>
      <c r="V323" s="7">
        <v>0.5625</v>
      </c>
      <c r="W323" s="6">
        <v>44603</v>
      </c>
      <c r="X323" s="7">
        <v>0.5625</v>
      </c>
      <c r="Y323" s="1" t="s">
        <v>4860</v>
      </c>
      <c r="Z323" s="5">
        <v>340</v>
      </c>
      <c r="AA323" s="1" t="s">
        <v>3403</v>
      </c>
      <c r="AB323" s="1"/>
      <c r="AC323" s="1"/>
      <c r="AD323" s="1"/>
      <c r="AE323" s="1" t="s">
        <v>3775</v>
      </c>
      <c r="AF323" s="1" t="s">
        <v>9</v>
      </c>
      <c r="AG323" s="4">
        <v>2</v>
      </c>
      <c r="AH323" s="1"/>
      <c r="AI323" s="6">
        <v>44926</v>
      </c>
    </row>
    <row r="324" spans="1:35" x14ac:dyDescent="0.3">
      <c r="A324" s="1" t="s">
        <v>2170</v>
      </c>
      <c r="B324" s="2" t="str">
        <f>HYPERLINK("https://my.zakupki.prom.ua/remote/dispatcher/state_purchase_view/34691603")</f>
        <v>https://my.zakupki.prom.ua/remote/dispatcher/state_purchase_view/34691603</v>
      </c>
      <c r="C324" s="1" t="s">
        <v>3553</v>
      </c>
      <c r="D324" s="1" t="s">
        <v>1302</v>
      </c>
      <c r="E324" s="4">
        <v>1180</v>
      </c>
      <c r="F324" s="5">
        <v>45.76</v>
      </c>
      <c r="G324" s="1" t="s">
        <v>4901</v>
      </c>
      <c r="H324" s="1" t="s">
        <v>268</v>
      </c>
      <c r="I324" s="1" t="s">
        <v>3142</v>
      </c>
      <c r="J324" s="5">
        <v>54000</v>
      </c>
      <c r="K324" s="1" t="s">
        <v>3394</v>
      </c>
      <c r="L324" s="5">
        <v>270</v>
      </c>
      <c r="M324" s="1" t="s">
        <v>2308</v>
      </c>
      <c r="N324" s="1" t="s">
        <v>3983</v>
      </c>
      <c r="O324" s="1" t="s">
        <v>2521</v>
      </c>
      <c r="P324" s="1" t="s">
        <v>2515</v>
      </c>
      <c r="Q324" s="1" t="s">
        <v>4805</v>
      </c>
      <c r="R324" s="1" t="s">
        <v>4327</v>
      </c>
      <c r="S324" s="1" t="s">
        <v>4971</v>
      </c>
      <c r="T324" s="6">
        <v>44593</v>
      </c>
      <c r="U324" s="6">
        <v>44593</v>
      </c>
      <c r="V324" s="7">
        <v>0.5764936961689815</v>
      </c>
      <c r="W324" s="6">
        <v>44609</v>
      </c>
      <c r="X324" s="7">
        <v>0</v>
      </c>
      <c r="Y324" s="8">
        <v>44609.481539351851</v>
      </c>
      <c r="Z324" s="5">
        <v>340</v>
      </c>
      <c r="AA324" s="1" t="s">
        <v>3403</v>
      </c>
      <c r="AB324" s="1"/>
      <c r="AC324" s="1"/>
      <c r="AD324" s="1"/>
      <c r="AE324" s="1" t="s">
        <v>3736</v>
      </c>
      <c r="AF324" s="1" t="s">
        <v>9</v>
      </c>
      <c r="AG324" s="4">
        <v>1</v>
      </c>
      <c r="AH324" s="1"/>
      <c r="AI324" s="6">
        <v>44926</v>
      </c>
    </row>
    <row r="325" spans="1:35" x14ac:dyDescent="0.3">
      <c r="A325" s="1" t="s">
        <v>2169</v>
      </c>
      <c r="B325" s="2" t="str">
        <f>HYPERLINK("https://my.zakupki.prom.ua/remote/dispatcher/state_purchase_view/34692089")</f>
        <v>https://my.zakupki.prom.ua/remote/dispatcher/state_purchase_view/34692089</v>
      </c>
      <c r="C325" s="1" t="s">
        <v>3850</v>
      </c>
      <c r="D325" s="1" t="s">
        <v>453</v>
      </c>
      <c r="E325" s="4">
        <v>800</v>
      </c>
      <c r="F325" s="5">
        <v>85</v>
      </c>
      <c r="G325" s="1" t="s">
        <v>4901</v>
      </c>
      <c r="H325" s="1" t="s">
        <v>163</v>
      </c>
      <c r="I325" s="1" t="s">
        <v>3685</v>
      </c>
      <c r="J325" s="5">
        <v>68000</v>
      </c>
      <c r="K325" s="1" t="s">
        <v>3394</v>
      </c>
      <c r="L325" s="5">
        <v>340</v>
      </c>
      <c r="M325" s="1" t="s">
        <v>2308</v>
      </c>
      <c r="N325" s="1" t="s">
        <v>3983</v>
      </c>
      <c r="O325" s="1" t="s">
        <v>2521</v>
      </c>
      <c r="P325" s="1" t="s">
        <v>3956</v>
      </c>
      <c r="Q325" s="1" t="s">
        <v>3238</v>
      </c>
      <c r="R325" s="1" t="s">
        <v>4313</v>
      </c>
      <c r="S325" s="1" t="s">
        <v>4937</v>
      </c>
      <c r="T325" s="6">
        <v>44593</v>
      </c>
      <c r="U325" s="6">
        <v>44599</v>
      </c>
      <c r="V325" s="7">
        <v>0.99930555555555556</v>
      </c>
      <c r="W325" s="6">
        <v>44602</v>
      </c>
      <c r="X325" s="7">
        <v>0.99930555555555556</v>
      </c>
      <c r="Y325" s="1" t="s">
        <v>4860</v>
      </c>
      <c r="Z325" s="5">
        <v>340</v>
      </c>
      <c r="AA325" s="1" t="s">
        <v>3403</v>
      </c>
      <c r="AB325" s="1"/>
      <c r="AC325" s="1"/>
      <c r="AD325" s="1"/>
      <c r="AE325" s="1" t="s">
        <v>3768</v>
      </c>
      <c r="AF325" s="1" t="s">
        <v>9</v>
      </c>
      <c r="AG325" s="1" t="s">
        <v>9</v>
      </c>
      <c r="AH325" s="1"/>
      <c r="AI325" s="6">
        <v>44742</v>
      </c>
    </row>
    <row r="326" spans="1:35" x14ac:dyDescent="0.3">
      <c r="A326" s="1" t="s">
        <v>2168</v>
      </c>
      <c r="B326" s="2" t="str">
        <f>HYPERLINK("https://my.zakupki.prom.ua/remote/dispatcher/state_purchase_view/34692120")</f>
        <v>https://my.zakupki.prom.ua/remote/dispatcher/state_purchase_view/34692120</v>
      </c>
      <c r="C326" s="1" t="s">
        <v>2613</v>
      </c>
      <c r="D326" s="1" t="s">
        <v>967</v>
      </c>
      <c r="E326" s="1" t="s">
        <v>4903</v>
      </c>
      <c r="F326" s="1" t="s">
        <v>4903</v>
      </c>
      <c r="G326" s="1" t="s">
        <v>4903</v>
      </c>
      <c r="H326" s="1" t="s">
        <v>918</v>
      </c>
      <c r="I326" s="1" t="s">
        <v>2722</v>
      </c>
      <c r="J326" s="5">
        <v>10500</v>
      </c>
      <c r="K326" s="1" t="s">
        <v>3394</v>
      </c>
      <c r="L326" s="5">
        <v>53</v>
      </c>
      <c r="M326" s="1" t="s">
        <v>2308</v>
      </c>
      <c r="N326" s="1" t="s">
        <v>3983</v>
      </c>
      <c r="O326" s="1" t="s">
        <v>2521</v>
      </c>
      <c r="P326" s="1" t="s">
        <v>3956</v>
      </c>
      <c r="Q326" s="1" t="s">
        <v>4833</v>
      </c>
      <c r="R326" s="1" t="s">
        <v>4711</v>
      </c>
      <c r="S326" s="1" t="s">
        <v>4937</v>
      </c>
      <c r="T326" s="6">
        <v>44593</v>
      </c>
      <c r="U326" s="6">
        <v>44599</v>
      </c>
      <c r="V326" s="7">
        <v>0.75</v>
      </c>
      <c r="W326" s="6">
        <v>44602</v>
      </c>
      <c r="X326" s="7">
        <v>0.41666666666666669</v>
      </c>
      <c r="Y326" s="1" t="s">
        <v>4860</v>
      </c>
      <c r="Z326" s="5">
        <v>17</v>
      </c>
      <c r="AA326" s="1" t="s">
        <v>3403</v>
      </c>
      <c r="AB326" s="1"/>
      <c r="AC326" s="1"/>
      <c r="AD326" s="1"/>
      <c r="AE326" s="1" t="s">
        <v>3788</v>
      </c>
      <c r="AF326" s="1" t="s">
        <v>9</v>
      </c>
      <c r="AG326" s="4">
        <v>4</v>
      </c>
      <c r="AH326" s="1"/>
      <c r="AI326" s="6">
        <v>44926</v>
      </c>
    </row>
    <row r="327" spans="1:35" x14ac:dyDescent="0.3">
      <c r="A327" s="1" t="s">
        <v>2167</v>
      </c>
      <c r="B327" s="2" t="str">
        <f>HYPERLINK("https://my.zakupki.prom.ua/remote/dispatcher/state_purchase_view/34691207")</f>
        <v>https://my.zakupki.prom.ua/remote/dispatcher/state_purchase_view/34691207</v>
      </c>
      <c r="C327" s="1" t="s">
        <v>2417</v>
      </c>
      <c r="D327" s="1" t="s">
        <v>1133</v>
      </c>
      <c r="E327" s="4">
        <v>1</v>
      </c>
      <c r="F327" s="5">
        <v>3517586</v>
      </c>
      <c r="G327" s="1" t="s">
        <v>4940</v>
      </c>
      <c r="H327" s="1" t="s">
        <v>869</v>
      </c>
      <c r="I327" s="1" t="s">
        <v>2972</v>
      </c>
      <c r="J327" s="5">
        <v>3517586</v>
      </c>
      <c r="K327" s="1" t="s">
        <v>3394</v>
      </c>
      <c r="L327" s="5">
        <v>17587.93</v>
      </c>
      <c r="M327" s="1" t="s">
        <v>2308</v>
      </c>
      <c r="N327" s="1" t="s">
        <v>3983</v>
      </c>
      <c r="O327" s="1" t="s">
        <v>2521</v>
      </c>
      <c r="P327" s="1" t="s">
        <v>2515</v>
      </c>
      <c r="Q327" s="1" t="s">
        <v>2761</v>
      </c>
      <c r="R327" s="1" t="s">
        <v>4084</v>
      </c>
      <c r="S327" s="1" t="s">
        <v>4971</v>
      </c>
      <c r="T327" s="6">
        <v>44593</v>
      </c>
      <c r="U327" s="6">
        <v>44593</v>
      </c>
      <c r="V327" s="7">
        <v>0.57496367174768515</v>
      </c>
      <c r="W327" s="6">
        <v>44609</v>
      </c>
      <c r="X327" s="7">
        <v>0</v>
      </c>
      <c r="Y327" s="8">
        <v>44609.477384259262</v>
      </c>
      <c r="Z327" s="5">
        <v>1700</v>
      </c>
      <c r="AA327" s="1" t="s">
        <v>3403</v>
      </c>
      <c r="AB327" s="1"/>
      <c r="AC327" s="1"/>
      <c r="AD327" s="1"/>
      <c r="AE327" s="1" t="s">
        <v>3750</v>
      </c>
      <c r="AF327" s="1" t="s">
        <v>9</v>
      </c>
      <c r="AG327" s="4">
        <v>3</v>
      </c>
      <c r="AH327" s="6">
        <v>44621</v>
      </c>
      <c r="AI327" s="6">
        <v>44926</v>
      </c>
    </row>
    <row r="328" spans="1:35" x14ac:dyDescent="0.3">
      <c r="A328" s="1" t="s">
        <v>2166</v>
      </c>
      <c r="B328" s="2" t="str">
        <f>HYPERLINK("https://my.zakupki.prom.ua/remote/dispatcher/state_purchase_view/34692061")</f>
        <v>https://my.zakupki.prom.ua/remote/dispatcher/state_purchase_view/34692061</v>
      </c>
      <c r="C328" s="1" t="s">
        <v>3612</v>
      </c>
      <c r="D328" s="1" t="s">
        <v>1294</v>
      </c>
      <c r="E328" s="4">
        <v>6947</v>
      </c>
      <c r="F328" s="5">
        <v>28.5</v>
      </c>
      <c r="G328" s="1" t="s">
        <v>4987</v>
      </c>
      <c r="H328" s="1" t="s">
        <v>284</v>
      </c>
      <c r="I328" s="1" t="s">
        <v>2486</v>
      </c>
      <c r="J328" s="5">
        <v>197989.5</v>
      </c>
      <c r="K328" s="1" t="s">
        <v>3394</v>
      </c>
      <c r="L328" s="5">
        <v>1979.89</v>
      </c>
      <c r="M328" s="1" t="s">
        <v>2308</v>
      </c>
      <c r="N328" s="1" t="s">
        <v>3983</v>
      </c>
      <c r="O328" s="1" t="s">
        <v>2521</v>
      </c>
      <c r="P328" s="1" t="s">
        <v>3956</v>
      </c>
      <c r="Q328" s="1" t="s">
        <v>3970</v>
      </c>
      <c r="R328" s="1" t="s">
        <v>4215</v>
      </c>
      <c r="S328" s="1" t="s">
        <v>4937</v>
      </c>
      <c r="T328" s="6">
        <v>44593</v>
      </c>
      <c r="U328" s="6">
        <v>44599</v>
      </c>
      <c r="V328" s="7">
        <v>0.56805555555555554</v>
      </c>
      <c r="W328" s="6">
        <v>44602</v>
      </c>
      <c r="X328" s="7">
        <v>0.375</v>
      </c>
      <c r="Y328" s="1" t="s">
        <v>4860</v>
      </c>
      <c r="Z328" s="5">
        <v>340</v>
      </c>
      <c r="AA328" s="1" t="s">
        <v>3403</v>
      </c>
      <c r="AB328" s="1"/>
      <c r="AC328" s="1"/>
      <c r="AD328" s="1"/>
      <c r="AE328" s="1" t="s">
        <v>3759</v>
      </c>
      <c r="AF328" s="1" t="s">
        <v>9</v>
      </c>
      <c r="AG328" s="1" t="s">
        <v>9</v>
      </c>
      <c r="AH328" s="1"/>
      <c r="AI328" s="6">
        <v>44926</v>
      </c>
    </row>
    <row r="329" spans="1:35" x14ac:dyDescent="0.3">
      <c r="A329" s="1" t="s">
        <v>2165</v>
      </c>
      <c r="B329" s="2" t="str">
        <f>HYPERLINK("https://my.zakupki.prom.ua/remote/dispatcher/state_purchase_view/34692051")</f>
        <v>https://my.zakupki.prom.ua/remote/dispatcher/state_purchase_view/34692051</v>
      </c>
      <c r="C329" s="1" t="s">
        <v>3300</v>
      </c>
      <c r="D329" s="1" t="s">
        <v>474</v>
      </c>
      <c r="E329" s="4">
        <v>500</v>
      </c>
      <c r="F329" s="5">
        <v>200</v>
      </c>
      <c r="G329" s="1" t="s">
        <v>4901</v>
      </c>
      <c r="H329" s="1" t="s">
        <v>99</v>
      </c>
      <c r="I329" s="1" t="s">
        <v>3183</v>
      </c>
      <c r="J329" s="5">
        <v>100000</v>
      </c>
      <c r="K329" s="1" t="s">
        <v>3394</v>
      </c>
      <c r="L329" s="5">
        <v>500</v>
      </c>
      <c r="M329" s="1" t="s">
        <v>2308</v>
      </c>
      <c r="N329" s="1" t="s">
        <v>3983</v>
      </c>
      <c r="O329" s="1" t="s">
        <v>2521</v>
      </c>
      <c r="P329" s="1" t="s">
        <v>3956</v>
      </c>
      <c r="Q329" s="1" t="s">
        <v>3878</v>
      </c>
      <c r="R329" s="1" t="s">
        <v>4559</v>
      </c>
      <c r="S329" s="1" t="s">
        <v>4937</v>
      </c>
      <c r="T329" s="6">
        <v>44593</v>
      </c>
      <c r="U329" s="6">
        <v>44599</v>
      </c>
      <c r="V329" s="7">
        <v>0.625</v>
      </c>
      <c r="W329" s="6">
        <v>44603</v>
      </c>
      <c r="X329" s="7">
        <v>0.625</v>
      </c>
      <c r="Y329" s="1" t="s">
        <v>4860</v>
      </c>
      <c r="Z329" s="5">
        <v>340</v>
      </c>
      <c r="AA329" s="1" t="s">
        <v>3403</v>
      </c>
      <c r="AB329" s="1"/>
      <c r="AC329" s="1"/>
      <c r="AD329" s="1"/>
      <c r="AE329" s="1" t="s">
        <v>3767</v>
      </c>
      <c r="AF329" s="1" t="s">
        <v>9</v>
      </c>
      <c r="AG329" s="4">
        <v>3</v>
      </c>
      <c r="AH329" s="1"/>
      <c r="AI329" s="6">
        <v>44926</v>
      </c>
    </row>
    <row r="330" spans="1:35" x14ac:dyDescent="0.3">
      <c r="A330" s="1" t="s">
        <v>2163</v>
      </c>
      <c r="B330" s="2" t="str">
        <f>HYPERLINK("https://my.zakupki.prom.ua/remote/dispatcher/state_purchase_view/34692030")</f>
        <v>https://my.zakupki.prom.ua/remote/dispatcher/state_purchase_view/34692030</v>
      </c>
      <c r="C330" s="1" t="s">
        <v>3525</v>
      </c>
      <c r="D330" s="1" t="s">
        <v>1293</v>
      </c>
      <c r="E330" s="4">
        <v>1</v>
      </c>
      <c r="F330" s="5">
        <v>300000</v>
      </c>
      <c r="G330" s="1" t="s">
        <v>4940</v>
      </c>
      <c r="H330" s="1" t="s">
        <v>604</v>
      </c>
      <c r="I330" s="1" t="s">
        <v>3192</v>
      </c>
      <c r="J330" s="5">
        <v>300000</v>
      </c>
      <c r="K330" s="1" t="s">
        <v>3394</v>
      </c>
      <c r="L330" s="5">
        <v>3000</v>
      </c>
      <c r="M330" s="1" t="s">
        <v>2308</v>
      </c>
      <c r="N330" s="1" t="s">
        <v>3983</v>
      </c>
      <c r="O330" s="1" t="s">
        <v>2521</v>
      </c>
      <c r="P330" s="1" t="s">
        <v>2515</v>
      </c>
      <c r="Q330" s="1" t="s">
        <v>3035</v>
      </c>
      <c r="R330" s="1" t="s">
        <v>4081</v>
      </c>
      <c r="S330" s="1" t="s">
        <v>4971</v>
      </c>
      <c r="T330" s="6">
        <v>44593</v>
      </c>
      <c r="U330" s="6">
        <v>44593</v>
      </c>
      <c r="V330" s="7">
        <v>0.57392498594907404</v>
      </c>
      <c r="W330" s="6">
        <v>44610</v>
      </c>
      <c r="X330" s="7">
        <v>0.45833333333333331</v>
      </c>
      <c r="Y330" s="8">
        <v>44613.526921296296</v>
      </c>
      <c r="Z330" s="5">
        <v>510</v>
      </c>
      <c r="AA330" s="1" t="s">
        <v>3403</v>
      </c>
      <c r="AB330" s="1"/>
      <c r="AC330" s="1"/>
      <c r="AD330" s="1"/>
      <c r="AE330" s="1" t="s">
        <v>3727</v>
      </c>
      <c r="AF330" s="1" t="s">
        <v>9</v>
      </c>
      <c r="AG330" s="4">
        <v>41</v>
      </c>
      <c r="AH330" s="1"/>
      <c r="AI330" s="6">
        <v>44926</v>
      </c>
    </row>
    <row r="331" spans="1:35" x14ac:dyDescent="0.3">
      <c r="A331" s="1" t="s">
        <v>2162</v>
      </c>
      <c r="B331" s="2" t="str">
        <f>HYPERLINK("https://my.zakupki.prom.ua/remote/dispatcher/state_purchase_view/34691289")</f>
        <v>https://my.zakupki.prom.ua/remote/dispatcher/state_purchase_view/34691289</v>
      </c>
      <c r="C331" s="1" t="s">
        <v>3455</v>
      </c>
      <c r="D331" s="1" t="s">
        <v>1250</v>
      </c>
      <c r="E331" s="4">
        <v>2000</v>
      </c>
      <c r="F331" s="5">
        <v>85</v>
      </c>
      <c r="G331" s="1" t="s">
        <v>4930</v>
      </c>
      <c r="H331" s="1" t="s">
        <v>10</v>
      </c>
      <c r="I331" s="1" t="s">
        <v>2760</v>
      </c>
      <c r="J331" s="5">
        <v>170000</v>
      </c>
      <c r="K331" s="1" t="s">
        <v>3394</v>
      </c>
      <c r="L331" s="5">
        <v>1700</v>
      </c>
      <c r="M331" s="1" t="s">
        <v>2308</v>
      </c>
      <c r="N331" s="1" t="s">
        <v>3983</v>
      </c>
      <c r="O331" s="1" t="s">
        <v>2521</v>
      </c>
      <c r="P331" s="1" t="s">
        <v>3956</v>
      </c>
      <c r="Q331" s="1" t="s">
        <v>2761</v>
      </c>
      <c r="R331" s="1" t="s">
        <v>4354</v>
      </c>
      <c r="S331" s="1" t="s">
        <v>4937</v>
      </c>
      <c r="T331" s="6">
        <v>44593</v>
      </c>
      <c r="U331" s="6">
        <v>44600</v>
      </c>
      <c r="V331" s="7">
        <v>0.41666666666666669</v>
      </c>
      <c r="W331" s="6">
        <v>44608</v>
      </c>
      <c r="X331" s="7">
        <v>0.375</v>
      </c>
      <c r="Y331" s="1" t="s">
        <v>4860</v>
      </c>
      <c r="Z331" s="5">
        <v>340</v>
      </c>
      <c r="AA331" s="1" t="s">
        <v>3403</v>
      </c>
      <c r="AB331" s="1"/>
      <c r="AC331" s="1"/>
      <c r="AD331" s="1"/>
      <c r="AE331" s="1" t="s">
        <v>3774</v>
      </c>
      <c r="AF331" s="1" t="s">
        <v>9</v>
      </c>
      <c r="AG331" s="4">
        <v>1</v>
      </c>
      <c r="AH331" s="1"/>
      <c r="AI331" s="6">
        <v>44896</v>
      </c>
    </row>
    <row r="332" spans="1:35" x14ac:dyDescent="0.3">
      <c r="A332" s="1" t="s">
        <v>2161</v>
      </c>
      <c r="B332" s="2" t="str">
        <f>HYPERLINK("https://my.zakupki.prom.ua/remote/dispatcher/state_purchase_view/34692003")</f>
        <v>https://my.zakupki.prom.ua/remote/dispatcher/state_purchase_view/34692003</v>
      </c>
      <c r="C332" s="1" t="s">
        <v>3482</v>
      </c>
      <c r="D332" s="1" t="s">
        <v>697</v>
      </c>
      <c r="E332" s="4">
        <v>700</v>
      </c>
      <c r="F332" s="5">
        <v>198</v>
      </c>
      <c r="G332" s="1" t="s">
        <v>4936</v>
      </c>
      <c r="H332" s="1" t="s">
        <v>281</v>
      </c>
      <c r="I332" s="1" t="s">
        <v>3397</v>
      </c>
      <c r="J332" s="5">
        <v>138600</v>
      </c>
      <c r="K332" s="1" t="s">
        <v>3394</v>
      </c>
      <c r="L332" s="5">
        <v>693</v>
      </c>
      <c r="M332" s="1" t="s">
        <v>2308</v>
      </c>
      <c r="N332" s="1" t="s">
        <v>3983</v>
      </c>
      <c r="O332" s="1" t="s">
        <v>2521</v>
      </c>
      <c r="P332" s="1" t="s">
        <v>3956</v>
      </c>
      <c r="Q332" s="1" t="s">
        <v>3238</v>
      </c>
      <c r="R332" s="1" t="s">
        <v>4405</v>
      </c>
      <c r="S332" s="1" t="s">
        <v>4937</v>
      </c>
      <c r="T332" s="6">
        <v>44593</v>
      </c>
      <c r="U332" s="6">
        <v>44599</v>
      </c>
      <c r="V332" s="7">
        <v>0.375</v>
      </c>
      <c r="W332" s="6">
        <v>44602</v>
      </c>
      <c r="X332" s="7">
        <v>0.375</v>
      </c>
      <c r="Y332" s="1" t="s">
        <v>4860</v>
      </c>
      <c r="Z332" s="5">
        <v>340</v>
      </c>
      <c r="AA332" s="1" t="s">
        <v>3403</v>
      </c>
      <c r="AB332" s="1"/>
      <c r="AC332" s="1"/>
      <c r="AD332" s="1"/>
      <c r="AE332" s="1" t="s">
        <v>3765</v>
      </c>
      <c r="AF332" s="1" t="s">
        <v>9</v>
      </c>
      <c r="AG332" s="4">
        <v>10</v>
      </c>
      <c r="AH332" s="1"/>
      <c r="AI332" s="6">
        <v>44635</v>
      </c>
    </row>
    <row r="333" spans="1:35" x14ac:dyDescent="0.3">
      <c r="A333" s="1" t="s">
        <v>1464</v>
      </c>
      <c r="B333" s="2" t="str">
        <f>HYPERLINK("https://my.zakupki.prom.ua/remote/dispatcher/state_purchase_view/34691925")</f>
        <v>https://my.zakupki.prom.ua/remote/dispatcher/state_purchase_view/34691925</v>
      </c>
      <c r="C333" s="1" t="s">
        <v>3333</v>
      </c>
      <c r="D333" s="1" t="s">
        <v>472</v>
      </c>
      <c r="E333" s="4">
        <v>19000</v>
      </c>
      <c r="F333" s="5">
        <v>29.1</v>
      </c>
      <c r="G333" s="1" t="s">
        <v>4883</v>
      </c>
      <c r="H333" s="1" t="s">
        <v>38</v>
      </c>
      <c r="I333" s="1" t="s">
        <v>2901</v>
      </c>
      <c r="J333" s="5">
        <v>552900</v>
      </c>
      <c r="K333" s="1" t="s">
        <v>3394</v>
      </c>
      <c r="L333" s="5">
        <v>2764.5</v>
      </c>
      <c r="M333" s="1" t="s">
        <v>2308</v>
      </c>
      <c r="N333" s="1" t="s">
        <v>3983</v>
      </c>
      <c r="O333" s="1" t="s">
        <v>2521</v>
      </c>
      <c r="P333" s="1" t="s">
        <v>2515</v>
      </c>
      <c r="Q333" s="1" t="s">
        <v>4805</v>
      </c>
      <c r="R333" s="1" t="s">
        <v>4081</v>
      </c>
      <c r="S333" s="1" t="s">
        <v>4971</v>
      </c>
      <c r="T333" s="6">
        <v>44593</v>
      </c>
      <c r="U333" s="6">
        <v>44593</v>
      </c>
      <c r="V333" s="7">
        <v>0.56866245853009256</v>
      </c>
      <c r="W333" s="6">
        <v>44609</v>
      </c>
      <c r="X333" s="7">
        <v>0.75</v>
      </c>
      <c r="Y333" s="8">
        <v>44610.627997685187</v>
      </c>
      <c r="Z333" s="5">
        <v>510</v>
      </c>
      <c r="AA333" s="1" t="s">
        <v>3403</v>
      </c>
      <c r="AB333" s="1"/>
      <c r="AC333" s="1"/>
      <c r="AD333" s="1"/>
      <c r="AE333" s="1" t="s">
        <v>3787</v>
      </c>
      <c r="AF333" s="1" t="s">
        <v>9</v>
      </c>
      <c r="AG333" s="4">
        <v>7</v>
      </c>
      <c r="AH333" s="1"/>
      <c r="AI333" s="6">
        <v>44926</v>
      </c>
    </row>
    <row r="334" spans="1:35" x14ac:dyDescent="0.3">
      <c r="A334" s="1" t="s">
        <v>2129</v>
      </c>
      <c r="B334" s="2" t="str">
        <f>HYPERLINK("https://my.zakupki.prom.ua/remote/dispatcher/state_purchase_view/34691923")</f>
        <v>https://my.zakupki.prom.ua/remote/dispatcher/state_purchase_view/34691923</v>
      </c>
      <c r="C334" s="1" t="s">
        <v>2311</v>
      </c>
      <c r="D334" s="1" t="s">
        <v>1132</v>
      </c>
      <c r="E334" s="4">
        <v>1</v>
      </c>
      <c r="F334" s="5">
        <v>1684576688</v>
      </c>
      <c r="G334" s="1" t="s">
        <v>4975</v>
      </c>
      <c r="H334" s="1" t="s">
        <v>276</v>
      </c>
      <c r="I334" s="1" t="s">
        <v>3435</v>
      </c>
      <c r="J334" s="5">
        <v>1684576688</v>
      </c>
      <c r="K334" s="1" t="s">
        <v>3394</v>
      </c>
      <c r="L334" s="5">
        <v>8422883.4399999995</v>
      </c>
      <c r="M334" s="1" t="s">
        <v>2308</v>
      </c>
      <c r="N334" s="1" t="s">
        <v>3983</v>
      </c>
      <c r="O334" s="1" t="s">
        <v>1257</v>
      </c>
      <c r="P334" s="1" t="s">
        <v>2516</v>
      </c>
      <c r="Q334" s="1" t="s">
        <v>3970</v>
      </c>
      <c r="R334" s="1" t="s">
        <v>4303</v>
      </c>
      <c r="S334" s="1" t="s">
        <v>4971</v>
      </c>
      <c r="T334" s="6">
        <v>44593</v>
      </c>
      <c r="U334" s="6">
        <v>44593</v>
      </c>
      <c r="V334" s="7">
        <v>0.5595910631481481</v>
      </c>
      <c r="W334" s="6">
        <v>44625</v>
      </c>
      <c r="X334" s="7">
        <v>0</v>
      </c>
      <c r="Y334" s="8">
        <v>44662.47515046296</v>
      </c>
      <c r="Z334" s="5">
        <v>3400</v>
      </c>
      <c r="AA334" s="1" t="s">
        <v>3403</v>
      </c>
      <c r="AB334" s="1"/>
      <c r="AC334" s="1"/>
      <c r="AD334" s="1"/>
      <c r="AE334" s="1" t="s">
        <v>3697</v>
      </c>
      <c r="AF334" s="1" t="s">
        <v>9</v>
      </c>
      <c r="AG334" s="4">
        <v>12</v>
      </c>
      <c r="AH334" s="1"/>
      <c r="AI334" s="6">
        <v>45291</v>
      </c>
    </row>
    <row r="335" spans="1:35" x14ac:dyDescent="0.3">
      <c r="A335" s="1" t="s">
        <v>1763</v>
      </c>
      <c r="B335" s="2" t="str">
        <f>HYPERLINK("https://my.zakupki.prom.ua/remote/dispatcher/state_purchase_view/34691908")</f>
        <v>https://my.zakupki.prom.ua/remote/dispatcher/state_purchase_view/34691908</v>
      </c>
      <c r="C335" s="1" t="s">
        <v>1209</v>
      </c>
      <c r="D335" s="1" t="s">
        <v>1210</v>
      </c>
      <c r="E335" s="4">
        <v>1</v>
      </c>
      <c r="F335" s="5">
        <v>6500</v>
      </c>
      <c r="G335" s="1" t="s">
        <v>4940</v>
      </c>
      <c r="H335" s="1" t="s">
        <v>29</v>
      </c>
      <c r="I335" s="1" t="s">
        <v>2520</v>
      </c>
      <c r="J335" s="5">
        <v>6500</v>
      </c>
      <c r="K335" s="1" t="s">
        <v>3394</v>
      </c>
      <c r="L335" s="5">
        <v>65</v>
      </c>
      <c r="M335" s="1" t="s">
        <v>2308</v>
      </c>
      <c r="N335" s="1" t="s">
        <v>3983</v>
      </c>
      <c r="O335" s="1" t="s">
        <v>2521</v>
      </c>
      <c r="P335" s="1" t="s">
        <v>3956</v>
      </c>
      <c r="Q335" s="1" t="s">
        <v>4831</v>
      </c>
      <c r="R335" s="1" t="s">
        <v>4069</v>
      </c>
      <c r="S335" s="1" t="s">
        <v>4937</v>
      </c>
      <c r="T335" s="6">
        <v>44593</v>
      </c>
      <c r="U335" s="6">
        <v>44599</v>
      </c>
      <c r="V335" s="7">
        <v>0.41666666666666669</v>
      </c>
      <c r="W335" s="6">
        <v>44602</v>
      </c>
      <c r="X335" s="7">
        <v>0</v>
      </c>
      <c r="Y335" s="1" t="s">
        <v>4860</v>
      </c>
      <c r="Z335" s="5">
        <v>17</v>
      </c>
      <c r="AA335" s="1" t="s">
        <v>3403</v>
      </c>
      <c r="AB335" s="1"/>
      <c r="AC335" s="1"/>
      <c r="AD335" s="1"/>
      <c r="AE335" s="1" t="s">
        <v>3734</v>
      </c>
      <c r="AF335" s="1" t="s">
        <v>9</v>
      </c>
      <c r="AG335" s="4">
        <v>1</v>
      </c>
      <c r="AH335" s="1"/>
      <c r="AI335" s="6">
        <v>44926</v>
      </c>
    </row>
    <row r="336" spans="1:35" x14ac:dyDescent="0.3">
      <c r="A336" s="1" t="s">
        <v>1759</v>
      </c>
      <c r="B336" s="2" t="str">
        <f>HYPERLINK("https://my.zakupki.prom.ua/remote/dispatcher/state_purchase_view/34691906")</f>
        <v>https://my.zakupki.prom.ua/remote/dispatcher/state_purchase_view/34691906</v>
      </c>
      <c r="C336" s="1" t="s">
        <v>4776</v>
      </c>
      <c r="D336" s="1" t="s">
        <v>228</v>
      </c>
      <c r="E336" s="1" t="s">
        <v>4903</v>
      </c>
      <c r="F336" s="1" t="s">
        <v>4903</v>
      </c>
      <c r="G336" s="1" t="s">
        <v>4903</v>
      </c>
      <c r="H336" s="1" t="s">
        <v>674</v>
      </c>
      <c r="I336" s="1" t="s">
        <v>3396</v>
      </c>
      <c r="J336" s="5">
        <v>383100</v>
      </c>
      <c r="K336" s="1" t="s">
        <v>3394</v>
      </c>
      <c r="L336" s="5">
        <v>3831</v>
      </c>
      <c r="M336" s="1" t="s">
        <v>2308</v>
      </c>
      <c r="N336" s="1" t="s">
        <v>3983</v>
      </c>
      <c r="O336" s="1" t="s">
        <v>2521</v>
      </c>
      <c r="P336" s="1" t="s">
        <v>2515</v>
      </c>
      <c r="Q336" s="1" t="s">
        <v>3035</v>
      </c>
      <c r="R336" s="1" t="s">
        <v>4159</v>
      </c>
      <c r="S336" s="1" t="s">
        <v>4971</v>
      </c>
      <c r="T336" s="6">
        <v>44593</v>
      </c>
      <c r="U336" s="6">
        <v>44593</v>
      </c>
      <c r="V336" s="7">
        <v>0.5715632550694445</v>
      </c>
      <c r="W336" s="6">
        <v>44609</v>
      </c>
      <c r="X336" s="7">
        <v>0</v>
      </c>
      <c r="Y336" s="8">
        <v>44609.532187500001</v>
      </c>
      <c r="Z336" s="5">
        <v>510</v>
      </c>
      <c r="AA336" s="1" t="s">
        <v>3403</v>
      </c>
      <c r="AB336" s="1"/>
      <c r="AC336" s="1"/>
      <c r="AD336" s="1"/>
      <c r="AE336" s="1" t="s">
        <v>3788</v>
      </c>
      <c r="AF336" s="1" t="s">
        <v>9</v>
      </c>
      <c r="AG336" s="4">
        <v>13</v>
      </c>
      <c r="AH336" s="1"/>
      <c r="AI336" s="6">
        <v>44923</v>
      </c>
    </row>
    <row r="337" spans="1:35" x14ac:dyDescent="0.3">
      <c r="A337" s="1" t="s">
        <v>2160</v>
      </c>
      <c r="B337" s="2" t="str">
        <f>HYPERLINK("https://my.zakupki.prom.ua/remote/dispatcher/state_purchase_view/34691848")</f>
        <v>https://my.zakupki.prom.ua/remote/dispatcher/state_purchase_view/34691848</v>
      </c>
      <c r="C337" s="1" t="s">
        <v>3027</v>
      </c>
      <c r="D337" s="1" t="s">
        <v>461</v>
      </c>
      <c r="E337" s="4">
        <v>118</v>
      </c>
      <c r="F337" s="5">
        <v>58.4</v>
      </c>
      <c r="G337" s="1" t="s">
        <v>4901</v>
      </c>
      <c r="H337" s="1" t="s">
        <v>1079</v>
      </c>
      <c r="I337" s="1" t="s">
        <v>2435</v>
      </c>
      <c r="J337" s="5">
        <v>6891.2</v>
      </c>
      <c r="K337" s="1" t="s">
        <v>3394</v>
      </c>
      <c r="L337" s="5">
        <v>34.46</v>
      </c>
      <c r="M337" s="1" t="s">
        <v>2308</v>
      </c>
      <c r="N337" s="1" t="s">
        <v>3983</v>
      </c>
      <c r="O337" s="1" t="s">
        <v>2521</v>
      </c>
      <c r="P337" s="1" t="s">
        <v>3956</v>
      </c>
      <c r="Q337" s="1" t="s">
        <v>2756</v>
      </c>
      <c r="R337" s="1" t="s">
        <v>4081</v>
      </c>
      <c r="S337" s="1" t="s">
        <v>4937</v>
      </c>
      <c r="T337" s="6">
        <v>44593</v>
      </c>
      <c r="U337" s="6">
        <v>44599</v>
      </c>
      <c r="V337" s="7">
        <v>0.5</v>
      </c>
      <c r="W337" s="6">
        <v>44602</v>
      </c>
      <c r="X337" s="7">
        <v>0.5</v>
      </c>
      <c r="Y337" s="1" t="s">
        <v>4860</v>
      </c>
      <c r="Z337" s="5">
        <v>17</v>
      </c>
      <c r="AA337" s="1" t="s">
        <v>3403</v>
      </c>
      <c r="AB337" s="1"/>
      <c r="AC337" s="1"/>
      <c r="AD337" s="1"/>
      <c r="AE337" s="1" t="s">
        <v>3767</v>
      </c>
      <c r="AF337" s="1" t="s">
        <v>9</v>
      </c>
      <c r="AG337" s="1" t="s">
        <v>9</v>
      </c>
      <c r="AH337" s="1"/>
      <c r="AI337" s="6">
        <v>44926</v>
      </c>
    </row>
    <row r="338" spans="1:35" x14ac:dyDescent="0.3">
      <c r="A338" s="1" t="s">
        <v>1749</v>
      </c>
      <c r="B338" s="2" t="str">
        <f>HYPERLINK("https://my.zakupki.prom.ua/remote/dispatcher/state_purchase_view/34691798")</f>
        <v>https://my.zakupki.prom.ua/remote/dispatcher/state_purchase_view/34691798</v>
      </c>
      <c r="C338" s="1" t="s">
        <v>3939</v>
      </c>
      <c r="D338" s="1" t="s">
        <v>508</v>
      </c>
      <c r="E338" s="1" t="s">
        <v>4903</v>
      </c>
      <c r="F338" s="1" t="s">
        <v>4903</v>
      </c>
      <c r="G338" s="1" t="s">
        <v>4903</v>
      </c>
      <c r="H338" s="1" t="s">
        <v>674</v>
      </c>
      <c r="I338" s="1" t="s">
        <v>3396</v>
      </c>
      <c r="J338" s="5">
        <v>227000</v>
      </c>
      <c r="K338" s="1" t="s">
        <v>3394</v>
      </c>
      <c r="L338" s="5">
        <v>2270</v>
      </c>
      <c r="M338" s="1" t="s">
        <v>2308</v>
      </c>
      <c r="N338" s="1" t="s">
        <v>3983</v>
      </c>
      <c r="O338" s="1" t="s">
        <v>2521</v>
      </c>
      <c r="P338" s="1" t="s">
        <v>2515</v>
      </c>
      <c r="Q338" s="1" t="s">
        <v>3035</v>
      </c>
      <c r="R338" s="1" t="s">
        <v>4159</v>
      </c>
      <c r="S338" s="1" t="s">
        <v>4971</v>
      </c>
      <c r="T338" s="6">
        <v>44593</v>
      </c>
      <c r="U338" s="6">
        <v>44593</v>
      </c>
      <c r="V338" s="7">
        <v>0.5675577378472223</v>
      </c>
      <c r="W338" s="6">
        <v>44609</v>
      </c>
      <c r="X338" s="7">
        <v>0</v>
      </c>
      <c r="Y338" s="8">
        <v>44609.485324074078</v>
      </c>
      <c r="Z338" s="5">
        <v>510</v>
      </c>
      <c r="AA338" s="1" t="s">
        <v>3403</v>
      </c>
      <c r="AB338" s="1"/>
      <c r="AC338" s="1"/>
      <c r="AD338" s="1"/>
      <c r="AE338" s="1" t="s">
        <v>3788</v>
      </c>
      <c r="AF338" s="1" t="s">
        <v>9</v>
      </c>
      <c r="AG338" s="4">
        <v>13</v>
      </c>
      <c r="AH338" s="1"/>
      <c r="AI338" s="6">
        <v>44923</v>
      </c>
    </row>
    <row r="339" spans="1:35" x14ac:dyDescent="0.3">
      <c r="A339" s="1" t="s">
        <v>1756</v>
      </c>
      <c r="B339" s="2" t="str">
        <f>HYPERLINK("https://my.zakupki.prom.ua/remote/dispatcher/state_purchase_view/34691777")</f>
        <v>https://my.zakupki.prom.ua/remote/dispatcher/state_purchase_view/34691777</v>
      </c>
      <c r="C339" s="1" t="s">
        <v>3327</v>
      </c>
      <c r="D339" s="1" t="s">
        <v>966</v>
      </c>
      <c r="E339" s="1" t="s">
        <v>4903</v>
      </c>
      <c r="F339" s="1" t="s">
        <v>4903</v>
      </c>
      <c r="G339" s="1" t="s">
        <v>4903</v>
      </c>
      <c r="H339" s="1" t="s">
        <v>81</v>
      </c>
      <c r="I339" s="1" t="s">
        <v>3104</v>
      </c>
      <c r="J339" s="5">
        <v>126000</v>
      </c>
      <c r="K339" s="1" t="s">
        <v>3394</v>
      </c>
      <c r="L339" s="5">
        <v>630</v>
      </c>
      <c r="M339" s="1" t="s">
        <v>2308</v>
      </c>
      <c r="N339" s="1" t="s">
        <v>3983</v>
      </c>
      <c r="O339" s="1" t="s">
        <v>2521</v>
      </c>
      <c r="P339" s="1" t="s">
        <v>3956</v>
      </c>
      <c r="Q339" s="1" t="s">
        <v>2334</v>
      </c>
      <c r="R339" s="1" t="s">
        <v>4079</v>
      </c>
      <c r="S339" s="1" t="s">
        <v>4937</v>
      </c>
      <c r="T339" s="6">
        <v>44593</v>
      </c>
      <c r="U339" s="6">
        <v>44599</v>
      </c>
      <c r="V339" s="7">
        <v>0</v>
      </c>
      <c r="W339" s="6">
        <v>44602</v>
      </c>
      <c r="X339" s="7">
        <v>0.75</v>
      </c>
      <c r="Y339" s="1" t="s">
        <v>4860</v>
      </c>
      <c r="Z339" s="5">
        <v>340</v>
      </c>
      <c r="AA339" s="1" t="s">
        <v>3403</v>
      </c>
      <c r="AB339" s="1"/>
      <c r="AC339" s="1"/>
      <c r="AD339" s="1"/>
      <c r="AE339" s="1" t="s">
        <v>3788</v>
      </c>
      <c r="AF339" s="1" t="s">
        <v>9</v>
      </c>
      <c r="AG339" s="4">
        <v>3</v>
      </c>
      <c r="AH339" s="1"/>
      <c r="AI339" s="6">
        <v>44926</v>
      </c>
    </row>
    <row r="340" spans="1:35" x14ac:dyDescent="0.3">
      <c r="A340" s="1" t="s">
        <v>2136</v>
      </c>
      <c r="B340" s="2" t="str">
        <f>HYPERLINK("https://my.zakupki.prom.ua/remote/dispatcher/state_purchase_view/34691771")</f>
        <v>https://my.zakupki.prom.ua/remote/dispatcher/state_purchase_view/34691771</v>
      </c>
      <c r="C340" s="1" t="s">
        <v>2676</v>
      </c>
      <c r="D340" s="1" t="s">
        <v>1144</v>
      </c>
      <c r="E340" s="4">
        <v>1</v>
      </c>
      <c r="F340" s="5">
        <v>400000</v>
      </c>
      <c r="G340" s="1" t="s">
        <v>4940</v>
      </c>
      <c r="H340" s="1" t="s">
        <v>623</v>
      </c>
      <c r="I340" s="1" t="s">
        <v>2978</v>
      </c>
      <c r="J340" s="5">
        <v>400000</v>
      </c>
      <c r="K340" s="1" t="s">
        <v>3394</v>
      </c>
      <c r="L340" s="5">
        <v>12000</v>
      </c>
      <c r="M340" s="1" t="s">
        <v>2308</v>
      </c>
      <c r="N340" s="1" t="s">
        <v>3983</v>
      </c>
      <c r="O340" s="1" t="s">
        <v>397</v>
      </c>
      <c r="P340" s="1" t="s">
        <v>2515</v>
      </c>
      <c r="Q340" s="1" t="s">
        <v>4794</v>
      </c>
      <c r="R340" s="1" t="s">
        <v>4365</v>
      </c>
      <c r="S340" s="1" t="s">
        <v>4971</v>
      </c>
      <c r="T340" s="6">
        <v>44593</v>
      </c>
      <c r="U340" s="6">
        <v>44593</v>
      </c>
      <c r="V340" s="7">
        <v>0.56181661116898152</v>
      </c>
      <c r="W340" s="6">
        <v>44609</v>
      </c>
      <c r="X340" s="7">
        <v>0</v>
      </c>
      <c r="Y340" s="8">
        <v>44609.463020833333</v>
      </c>
      <c r="Z340" s="5">
        <v>510</v>
      </c>
      <c r="AA340" s="1" t="s">
        <v>3403</v>
      </c>
      <c r="AB340" s="1"/>
      <c r="AC340" s="1"/>
      <c r="AD340" s="1"/>
      <c r="AE340" s="1" t="s">
        <v>3758</v>
      </c>
      <c r="AF340" s="1" t="s">
        <v>9</v>
      </c>
      <c r="AG340" s="1" t="s">
        <v>9</v>
      </c>
      <c r="AH340" s="1"/>
      <c r="AI340" s="6">
        <v>44926</v>
      </c>
    </row>
    <row r="341" spans="1:35" x14ac:dyDescent="0.3">
      <c r="A341" s="1" t="s">
        <v>2149</v>
      </c>
      <c r="B341" s="2" t="str">
        <f>HYPERLINK("https://my.zakupki.prom.ua/remote/dispatcher/state_purchase_view/34691765")</f>
        <v>https://my.zakupki.prom.ua/remote/dispatcher/state_purchase_view/34691765</v>
      </c>
      <c r="C341" s="1" t="s">
        <v>2775</v>
      </c>
      <c r="D341" s="1" t="s">
        <v>387</v>
      </c>
      <c r="E341" s="4">
        <v>166667</v>
      </c>
      <c r="F341" s="5">
        <v>1.68</v>
      </c>
      <c r="G341" s="1" t="s">
        <v>4880</v>
      </c>
      <c r="H341" s="1" t="s">
        <v>1065</v>
      </c>
      <c r="I341" s="1" t="s">
        <v>2445</v>
      </c>
      <c r="J341" s="5">
        <v>280000.56</v>
      </c>
      <c r="K341" s="1" t="s">
        <v>3394</v>
      </c>
      <c r="L341" s="5">
        <v>8400.02</v>
      </c>
      <c r="M341" s="1" t="s">
        <v>2308</v>
      </c>
      <c r="N341" s="1" t="s">
        <v>3983</v>
      </c>
      <c r="O341" s="1" t="s">
        <v>2521</v>
      </c>
      <c r="P341" s="1" t="s">
        <v>2515</v>
      </c>
      <c r="Q341" s="1" t="s">
        <v>3426</v>
      </c>
      <c r="R341" s="1" t="s">
        <v>4351</v>
      </c>
      <c r="S341" s="1" t="s">
        <v>4971</v>
      </c>
      <c r="T341" s="6">
        <v>44593</v>
      </c>
      <c r="U341" s="6">
        <v>44593</v>
      </c>
      <c r="V341" s="7">
        <v>0.56974537037037032</v>
      </c>
      <c r="W341" s="6">
        <v>44609</v>
      </c>
      <c r="X341" s="7">
        <v>0.625</v>
      </c>
      <c r="Y341" s="8">
        <v>44610.598136574074</v>
      </c>
      <c r="Z341" s="5">
        <v>510</v>
      </c>
      <c r="AA341" s="1" t="s">
        <v>3403</v>
      </c>
      <c r="AB341" s="1"/>
      <c r="AC341" s="1"/>
      <c r="AD341" s="1"/>
      <c r="AE341" s="1" t="s">
        <v>3768</v>
      </c>
      <c r="AF341" s="1" t="s">
        <v>9</v>
      </c>
      <c r="AG341" s="1" t="s">
        <v>9</v>
      </c>
      <c r="AH341" s="6">
        <v>44562</v>
      </c>
      <c r="AI341" s="6">
        <v>44926</v>
      </c>
    </row>
    <row r="342" spans="1:35" x14ac:dyDescent="0.3">
      <c r="A342" s="1" t="s">
        <v>2159</v>
      </c>
      <c r="B342" s="2" t="str">
        <f>HYPERLINK("https://my.zakupki.prom.ua/remote/dispatcher/state_purchase_view/34691198")</f>
        <v>https://my.zakupki.prom.ua/remote/dispatcher/state_purchase_view/34691198</v>
      </c>
      <c r="C342" s="1" t="s">
        <v>3047</v>
      </c>
      <c r="D342" s="1" t="s">
        <v>1221</v>
      </c>
      <c r="E342" s="1" t="s">
        <v>4903</v>
      </c>
      <c r="F342" s="1" t="s">
        <v>4903</v>
      </c>
      <c r="G342" s="1" t="s">
        <v>4903</v>
      </c>
      <c r="H342" s="1" t="s">
        <v>266</v>
      </c>
      <c r="I342" s="1" t="s">
        <v>3296</v>
      </c>
      <c r="J342" s="5">
        <v>19629.349999999999</v>
      </c>
      <c r="K342" s="1" t="s">
        <v>3394</v>
      </c>
      <c r="L342" s="5">
        <v>98.15</v>
      </c>
      <c r="M342" s="1" t="s">
        <v>2308</v>
      </c>
      <c r="N342" s="1" t="s">
        <v>3983</v>
      </c>
      <c r="O342" s="1" t="s">
        <v>2521</v>
      </c>
      <c r="P342" s="1" t="s">
        <v>3956</v>
      </c>
      <c r="Q342" s="1" t="s">
        <v>2761</v>
      </c>
      <c r="R342" s="1" t="s">
        <v>4292</v>
      </c>
      <c r="S342" s="1" t="s">
        <v>4937</v>
      </c>
      <c r="T342" s="6">
        <v>44593</v>
      </c>
      <c r="U342" s="6">
        <v>44600</v>
      </c>
      <c r="V342" s="7">
        <v>0.56388888888888888</v>
      </c>
      <c r="W342" s="6">
        <v>44603</v>
      </c>
      <c r="X342" s="7">
        <v>0.56388888888888888</v>
      </c>
      <c r="Y342" s="1" t="s">
        <v>4860</v>
      </c>
      <c r="Z342" s="5">
        <v>17</v>
      </c>
      <c r="AA342" s="1" t="s">
        <v>3403</v>
      </c>
      <c r="AB342" s="1"/>
      <c r="AC342" s="1"/>
      <c r="AD342" s="1"/>
      <c r="AE342" s="1" t="s">
        <v>3751</v>
      </c>
      <c r="AF342" s="1" t="s">
        <v>9</v>
      </c>
      <c r="AG342" s="4">
        <v>33</v>
      </c>
      <c r="AH342" s="1"/>
      <c r="AI342" s="6">
        <v>44926</v>
      </c>
    </row>
    <row r="343" spans="1:35" x14ac:dyDescent="0.3">
      <c r="A343" s="1" t="s">
        <v>1459</v>
      </c>
      <c r="B343" s="2" t="str">
        <f>HYPERLINK("https://my.zakupki.prom.ua/remote/dispatcher/state_purchase_view/34691707")</f>
        <v>https://my.zakupki.prom.ua/remote/dispatcher/state_purchase_view/34691707</v>
      </c>
      <c r="C343" s="1" t="s">
        <v>3543</v>
      </c>
      <c r="D343" s="1" t="s">
        <v>1202</v>
      </c>
      <c r="E343" s="4">
        <v>630</v>
      </c>
      <c r="F343" s="5">
        <v>16.04</v>
      </c>
      <c r="G343" s="1" t="s">
        <v>4885</v>
      </c>
      <c r="H343" s="1" t="s">
        <v>646</v>
      </c>
      <c r="I343" s="1" t="s">
        <v>2837</v>
      </c>
      <c r="J343" s="5">
        <v>10103</v>
      </c>
      <c r="K343" s="1" t="s">
        <v>3394</v>
      </c>
      <c r="L343" s="5">
        <v>50.52</v>
      </c>
      <c r="M343" s="1" t="s">
        <v>2308</v>
      </c>
      <c r="N343" s="1" t="s">
        <v>3983</v>
      </c>
      <c r="O343" s="1" t="s">
        <v>2521</v>
      </c>
      <c r="P343" s="1" t="s">
        <v>2762</v>
      </c>
      <c r="Q343" s="1" t="s">
        <v>2761</v>
      </c>
      <c r="R343" s="1" t="s">
        <v>4240</v>
      </c>
      <c r="S343" s="1" t="s">
        <v>4937</v>
      </c>
      <c r="T343" s="6">
        <v>44593</v>
      </c>
      <c r="U343" s="6">
        <v>44597</v>
      </c>
      <c r="V343" s="7">
        <v>0</v>
      </c>
      <c r="W343" s="6">
        <v>44602</v>
      </c>
      <c r="X343" s="7">
        <v>0.57059027777777782</v>
      </c>
      <c r="Y343" s="1" t="s">
        <v>4860</v>
      </c>
      <c r="Z343" s="5">
        <v>17</v>
      </c>
      <c r="AA343" s="1" t="s">
        <v>3403</v>
      </c>
      <c r="AB343" s="1"/>
      <c r="AC343" s="1"/>
      <c r="AD343" s="1"/>
      <c r="AE343" s="1" t="s">
        <v>3750</v>
      </c>
      <c r="AF343" s="1" t="s">
        <v>9</v>
      </c>
      <c r="AG343" s="4">
        <v>3</v>
      </c>
      <c r="AH343" s="1"/>
      <c r="AI343" s="6">
        <v>44926</v>
      </c>
    </row>
    <row r="344" spans="1:35" x14ac:dyDescent="0.3">
      <c r="A344" s="1" t="s">
        <v>2154</v>
      </c>
      <c r="B344" s="2" t="str">
        <f>HYPERLINK("https://my.zakupki.prom.ua/remote/dispatcher/state_purchase_view/34691698")</f>
        <v>https://my.zakupki.prom.ua/remote/dispatcher/state_purchase_view/34691698</v>
      </c>
      <c r="C344" s="1" t="s">
        <v>2663</v>
      </c>
      <c r="D344" s="1" t="s">
        <v>1166</v>
      </c>
      <c r="E344" s="4">
        <v>1</v>
      </c>
      <c r="F344" s="5">
        <v>50900</v>
      </c>
      <c r="G344" s="1" t="s">
        <v>4939</v>
      </c>
      <c r="H344" s="1" t="s">
        <v>936</v>
      </c>
      <c r="I344" s="1" t="s">
        <v>2891</v>
      </c>
      <c r="J344" s="5">
        <v>50900</v>
      </c>
      <c r="K344" s="1" t="s">
        <v>3394</v>
      </c>
      <c r="L344" s="5">
        <v>509</v>
      </c>
      <c r="M344" s="1" t="s">
        <v>2308</v>
      </c>
      <c r="N344" s="1" t="s">
        <v>3983</v>
      </c>
      <c r="O344" s="1" t="s">
        <v>2521</v>
      </c>
      <c r="P344" s="1" t="s">
        <v>3956</v>
      </c>
      <c r="Q344" s="1" t="s">
        <v>2334</v>
      </c>
      <c r="R344" s="1" t="s">
        <v>4081</v>
      </c>
      <c r="S344" s="1" t="s">
        <v>4937</v>
      </c>
      <c r="T344" s="6">
        <v>44593</v>
      </c>
      <c r="U344" s="6">
        <v>44597</v>
      </c>
      <c r="V344" s="7">
        <v>0</v>
      </c>
      <c r="W344" s="6">
        <v>44602</v>
      </c>
      <c r="X344" s="7">
        <v>6.9444444444444447E-4</v>
      </c>
      <c r="Y344" s="1" t="s">
        <v>4860</v>
      </c>
      <c r="Z344" s="5">
        <v>340</v>
      </c>
      <c r="AA344" s="1" t="s">
        <v>3403</v>
      </c>
      <c r="AB344" s="1"/>
      <c r="AC344" s="1"/>
      <c r="AD344" s="1"/>
      <c r="AE344" s="1" t="s">
        <v>3727</v>
      </c>
      <c r="AF344" s="1" t="s">
        <v>9</v>
      </c>
      <c r="AG344" s="4">
        <v>8</v>
      </c>
      <c r="AH344" s="1"/>
      <c r="AI344" s="6">
        <v>44926</v>
      </c>
    </row>
    <row r="345" spans="1:35" x14ac:dyDescent="0.3">
      <c r="A345" s="1" t="s">
        <v>1348</v>
      </c>
      <c r="B345" s="2" t="str">
        <f>HYPERLINK("https://my.zakupki.prom.ua/remote/dispatcher/state_purchase_view/34691687")</f>
        <v>https://my.zakupki.prom.ua/remote/dispatcher/state_purchase_view/34691687</v>
      </c>
      <c r="C345" s="1" t="s">
        <v>2469</v>
      </c>
      <c r="D345" s="1" t="s">
        <v>474</v>
      </c>
      <c r="E345" s="4">
        <v>155</v>
      </c>
      <c r="F345" s="5">
        <v>223.15</v>
      </c>
      <c r="G345" s="1" t="s">
        <v>4883</v>
      </c>
      <c r="H345" s="1" t="s">
        <v>304</v>
      </c>
      <c r="I345" s="1" t="s">
        <v>2489</v>
      </c>
      <c r="J345" s="5">
        <v>34588</v>
      </c>
      <c r="K345" s="1" t="s">
        <v>3394</v>
      </c>
      <c r="L345" s="5">
        <v>172.94</v>
      </c>
      <c r="M345" s="1" t="s">
        <v>2308</v>
      </c>
      <c r="N345" s="1" t="s">
        <v>3983</v>
      </c>
      <c r="O345" s="1" t="s">
        <v>2521</v>
      </c>
      <c r="P345" s="1" t="s">
        <v>3956</v>
      </c>
      <c r="Q345" s="1" t="s">
        <v>4798</v>
      </c>
      <c r="R345" s="1" t="s">
        <v>4081</v>
      </c>
      <c r="S345" s="1" t="s">
        <v>4937</v>
      </c>
      <c r="T345" s="6">
        <v>44593</v>
      </c>
      <c r="U345" s="6">
        <v>44597</v>
      </c>
      <c r="V345" s="7">
        <v>0</v>
      </c>
      <c r="W345" s="6">
        <v>44601</v>
      </c>
      <c r="X345" s="7">
        <v>0</v>
      </c>
      <c r="Y345" s="1" t="s">
        <v>4860</v>
      </c>
      <c r="Z345" s="5">
        <v>119</v>
      </c>
      <c r="AA345" s="1" t="s">
        <v>3403</v>
      </c>
      <c r="AB345" s="1"/>
      <c r="AC345" s="1"/>
      <c r="AD345" s="1"/>
      <c r="AE345" s="1" t="s">
        <v>3765</v>
      </c>
      <c r="AF345" s="1" t="s">
        <v>9</v>
      </c>
      <c r="AG345" s="4">
        <v>1</v>
      </c>
      <c r="AH345" s="1"/>
      <c r="AI345" s="6">
        <v>44926</v>
      </c>
    </row>
    <row r="346" spans="1:35" x14ac:dyDescent="0.3">
      <c r="A346" s="1" t="s">
        <v>2157</v>
      </c>
      <c r="B346" s="2" t="str">
        <f>HYPERLINK("https://my.zakupki.prom.ua/remote/dispatcher/state_purchase_view/34691688")</f>
        <v>https://my.zakupki.prom.ua/remote/dispatcher/state_purchase_view/34691688</v>
      </c>
      <c r="C346" s="1" t="s">
        <v>2774</v>
      </c>
      <c r="D346" s="1" t="s">
        <v>789</v>
      </c>
      <c r="E346" s="4">
        <v>576</v>
      </c>
      <c r="F346" s="5">
        <v>683.4</v>
      </c>
      <c r="G346" s="1" t="s">
        <v>4984</v>
      </c>
      <c r="H346" s="1" t="s">
        <v>626</v>
      </c>
      <c r="I346" s="1" t="s">
        <v>2917</v>
      </c>
      <c r="J346" s="5">
        <v>393640</v>
      </c>
      <c r="K346" s="1" t="s">
        <v>3394</v>
      </c>
      <c r="L346" s="5">
        <v>1968.2</v>
      </c>
      <c r="M346" s="1" t="s">
        <v>2308</v>
      </c>
      <c r="N346" s="1" t="s">
        <v>3983</v>
      </c>
      <c r="O346" s="1" t="s">
        <v>2521</v>
      </c>
      <c r="P346" s="1" t="s">
        <v>2515</v>
      </c>
      <c r="Q346" s="1" t="s">
        <v>4794</v>
      </c>
      <c r="R346" s="1" t="s">
        <v>4053</v>
      </c>
      <c r="S346" s="1" t="s">
        <v>4971</v>
      </c>
      <c r="T346" s="6">
        <v>44593</v>
      </c>
      <c r="U346" s="6">
        <v>44593</v>
      </c>
      <c r="V346" s="7">
        <v>0.57193287037037033</v>
      </c>
      <c r="W346" s="6">
        <v>44609</v>
      </c>
      <c r="X346" s="7">
        <v>0.625</v>
      </c>
      <c r="Y346" s="8">
        <v>44610.612905092596</v>
      </c>
      <c r="Z346" s="5">
        <v>510</v>
      </c>
      <c r="AA346" s="1" t="s">
        <v>3403</v>
      </c>
      <c r="AB346" s="1"/>
      <c r="AC346" s="1"/>
      <c r="AD346" s="1"/>
      <c r="AE346" s="1" t="s">
        <v>3765</v>
      </c>
      <c r="AF346" s="1" t="s">
        <v>9</v>
      </c>
      <c r="AG346" s="1" t="s">
        <v>9</v>
      </c>
      <c r="AH346" s="1"/>
      <c r="AI346" s="6">
        <v>44926</v>
      </c>
    </row>
    <row r="347" spans="1:35" x14ac:dyDescent="0.3">
      <c r="A347" s="1" t="s">
        <v>1453</v>
      </c>
      <c r="B347" s="2" t="str">
        <f>HYPERLINK("https://my.zakupki.prom.ua/remote/dispatcher/state_purchase_view/34691659")</f>
        <v>https://my.zakupki.prom.ua/remote/dispatcher/state_purchase_view/34691659</v>
      </c>
      <c r="C347" s="1" t="s">
        <v>4001</v>
      </c>
      <c r="D347" s="1" t="s">
        <v>1158</v>
      </c>
      <c r="E347" s="4">
        <v>1</v>
      </c>
      <c r="F347" s="5">
        <v>165000</v>
      </c>
      <c r="G347" s="1" t="s">
        <v>4940</v>
      </c>
      <c r="H347" s="1" t="s">
        <v>907</v>
      </c>
      <c r="I347" s="1" t="s">
        <v>4725</v>
      </c>
      <c r="J347" s="5">
        <v>165000</v>
      </c>
      <c r="K347" s="1" t="s">
        <v>3394</v>
      </c>
      <c r="L347" s="5">
        <v>825</v>
      </c>
      <c r="M347" s="1" t="s">
        <v>2308</v>
      </c>
      <c r="N347" s="1" t="s">
        <v>3983</v>
      </c>
      <c r="O347" s="1" t="s">
        <v>2521</v>
      </c>
      <c r="P347" s="1" t="s">
        <v>3956</v>
      </c>
      <c r="Q347" s="1" t="s">
        <v>2528</v>
      </c>
      <c r="R347" s="1" t="s">
        <v>4532</v>
      </c>
      <c r="S347" s="1" t="s">
        <v>4937</v>
      </c>
      <c r="T347" s="6">
        <v>44593</v>
      </c>
      <c r="U347" s="6">
        <v>44599</v>
      </c>
      <c r="V347" s="7">
        <v>0.70833333333333337</v>
      </c>
      <c r="W347" s="6">
        <v>44602</v>
      </c>
      <c r="X347" s="7">
        <v>0.70833333333333337</v>
      </c>
      <c r="Y347" s="1" t="s">
        <v>4860</v>
      </c>
      <c r="Z347" s="5">
        <v>340</v>
      </c>
      <c r="AA347" s="1" t="s">
        <v>3403</v>
      </c>
      <c r="AB347" s="1"/>
      <c r="AC347" s="1"/>
      <c r="AD347" s="1"/>
      <c r="AE347" s="1" t="s">
        <v>3728</v>
      </c>
      <c r="AF347" s="1" t="s">
        <v>9</v>
      </c>
      <c r="AG347" s="4">
        <v>2</v>
      </c>
      <c r="AH347" s="1"/>
      <c r="AI347" s="6">
        <v>44926</v>
      </c>
    </row>
    <row r="348" spans="1:35" x14ac:dyDescent="0.3">
      <c r="A348" s="1" t="s">
        <v>2133</v>
      </c>
      <c r="B348" s="2" t="str">
        <f>HYPERLINK("https://my.zakupki.prom.ua/remote/dispatcher/state_purchase_view/34691645")</f>
        <v>https://my.zakupki.prom.ua/remote/dispatcher/state_purchase_view/34691645</v>
      </c>
      <c r="C348" s="1" t="s">
        <v>3335</v>
      </c>
      <c r="D348" s="1" t="s">
        <v>472</v>
      </c>
      <c r="E348" s="4">
        <v>3000</v>
      </c>
      <c r="F348" s="5">
        <v>32</v>
      </c>
      <c r="G348" s="1" t="s">
        <v>4908</v>
      </c>
      <c r="H348" s="1" t="s">
        <v>660</v>
      </c>
      <c r="I348" s="1" t="s">
        <v>2840</v>
      </c>
      <c r="J348" s="5">
        <v>96000</v>
      </c>
      <c r="K348" s="1" t="s">
        <v>3394</v>
      </c>
      <c r="L348" s="5">
        <v>480</v>
      </c>
      <c r="M348" s="1" t="s">
        <v>2308</v>
      </c>
      <c r="N348" s="1" t="s">
        <v>3983</v>
      </c>
      <c r="O348" s="1" t="s">
        <v>2521</v>
      </c>
      <c r="P348" s="1" t="s">
        <v>3956</v>
      </c>
      <c r="Q348" s="1" t="s">
        <v>2528</v>
      </c>
      <c r="R348" s="1" t="s">
        <v>4422</v>
      </c>
      <c r="S348" s="1" t="s">
        <v>4937</v>
      </c>
      <c r="T348" s="6">
        <v>44593</v>
      </c>
      <c r="U348" s="6">
        <v>44599</v>
      </c>
      <c r="V348" s="7">
        <v>0.56400462962962961</v>
      </c>
      <c r="W348" s="6">
        <v>44602</v>
      </c>
      <c r="X348" s="7">
        <v>0.56400462962962961</v>
      </c>
      <c r="Y348" s="1" t="s">
        <v>4860</v>
      </c>
      <c r="Z348" s="5">
        <v>340</v>
      </c>
      <c r="AA348" s="1" t="s">
        <v>3403</v>
      </c>
      <c r="AB348" s="1"/>
      <c r="AC348" s="1"/>
      <c r="AD348" s="1"/>
      <c r="AE348" s="1" t="s">
        <v>3788</v>
      </c>
      <c r="AF348" s="1" t="s">
        <v>9</v>
      </c>
      <c r="AG348" s="1" t="s">
        <v>9</v>
      </c>
      <c r="AH348" s="1"/>
      <c r="AI348" s="6">
        <v>44926</v>
      </c>
    </row>
    <row r="349" spans="1:35" x14ac:dyDescent="0.3">
      <c r="A349" s="1" t="s">
        <v>2158</v>
      </c>
      <c r="B349" s="2" t="str">
        <f>HYPERLINK("https://my.zakupki.prom.ua/remote/dispatcher/state_purchase_view/34691620")</f>
        <v>https://my.zakupki.prom.ua/remote/dispatcher/state_purchase_view/34691620</v>
      </c>
      <c r="C349" s="1" t="s">
        <v>3318</v>
      </c>
      <c r="D349" s="1" t="s">
        <v>764</v>
      </c>
      <c r="E349" s="1" t="s">
        <v>4903</v>
      </c>
      <c r="F349" s="1" t="s">
        <v>4903</v>
      </c>
      <c r="G349" s="1" t="s">
        <v>4903</v>
      </c>
      <c r="H349" s="1" t="s">
        <v>949</v>
      </c>
      <c r="I349" s="1" t="s">
        <v>2931</v>
      </c>
      <c r="J349" s="5">
        <v>153600</v>
      </c>
      <c r="K349" s="1" t="s">
        <v>3394</v>
      </c>
      <c r="L349" s="5">
        <v>1536</v>
      </c>
      <c r="M349" s="1" t="s">
        <v>2308</v>
      </c>
      <c r="N349" s="1" t="s">
        <v>3983</v>
      </c>
      <c r="O349" s="1" t="s">
        <v>2521</v>
      </c>
      <c r="P349" s="1" t="s">
        <v>3956</v>
      </c>
      <c r="Q349" s="1" t="s">
        <v>2756</v>
      </c>
      <c r="R349" s="1" t="s">
        <v>4244</v>
      </c>
      <c r="S349" s="1" t="s">
        <v>4937</v>
      </c>
      <c r="T349" s="6">
        <v>44593</v>
      </c>
      <c r="U349" s="6">
        <v>44599</v>
      </c>
      <c r="V349" s="7">
        <v>0.70833333333333337</v>
      </c>
      <c r="W349" s="6">
        <v>44602</v>
      </c>
      <c r="X349" s="7">
        <v>0.70833333333333337</v>
      </c>
      <c r="Y349" s="1" t="s">
        <v>4860</v>
      </c>
      <c r="Z349" s="5">
        <v>340</v>
      </c>
      <c r="AA349" s="1" t="s">
        <v>3403</v>
      </c>
      <c r="AB349" s="1"/>
      <c r="AC349" s="1"/>
      <c r="AD349" s="1"/>
      <c r="AE349" s="1" t="s">
        <v>3774</v>
      </c>
      <c r="AF349" s="1" t="s">
        <v>9</v>
      </c>
      <c r="AG349" s="4">
        <v>4</v>
      </c>
      <c r="AH349" s="1"/>
      <c r="AI349" s="6">
        <v>44926</v>
      </c>
    </row>
    <row r="350" spans="1:35" x14ac:dyDescent="0.3">
      <c r="A350" s="1" t="s">
        <v>2156</v>
      </c>
      <c r="B350" s="2" t="str">
        <f>HYPERLINK("https://my.zakupki.prom.ua/remote/dispatcher/state_purchase_view/34691307")</f>
        <v>https://my.zakupki.prom.ua/remote/dispatcher/state_purchase_view/34691307</v>
      </c>
      <c r="C350" s="1" t="s">
        <v>0</v>
      </c>
      <c r="D350" s="1" t="s">
        <v>697</v>
      </c>
      <c r="E350" s="4">
        <v>272</v>
      </c>
      <c r="F350" s="5">
        <v>180.15</v>
      </c>
      <c r="G350" s="1" t="s">
        <v>4936</v>
      </c>
      <c r="H350" s="1" t="s">
        <v>1006</v>
      </c>
      <c r="I350" s="1" t="s">
        <v>2457</v>
      </c>
      <c r="J350" s="5">
        <v>49000</v>
      </c>
      <c r="K350" s="1" t="s">
        <v>3394</v>
      </c>
      <c r="L350" s="5">
        <v>245</v>
      </c>
      <c r="M350" s="1" t="s">
        <v>2308</v>
      </c>
      <c r="N350" s="1" t="s">
        <v>3983</v>
      </c>
      <c r="O350" s="1" t="s">
        <v>2521</v>
      </c>
      <c r="P350" s="1" t="s">
        <v>3956</v>
      </c>
      <c r="Q350" s="1" t="s">
        <v>2756</v>
      </c>
      <c r="R350" s="1" t="s">
        <v>4417</v>
      </c>
      <c r="S350" s="1" t="s">
        <v>4937</v>
      </c>
      <c r="T350" s="6">
        <v>44593</v>
      </c>
      <c r="U350" s="6">
        <v>44599</v>
      </c>
      <c r="V350" s="7">
        <v>2.0833333333333333E-3</v>
      </c>
      <c r="W350" s="6">
        <v>44602</v>
      </c>
      <c r="X350" s="7">
        <v>0</v>
      </c>
      <c r="Y350" s="1" t="s">
        <v>4860</v>
      </c>
      <c r="Z350" s="5">
        <v>119</v>
      </c>
      <c r="AA350" s="1" t="s">
        <v>3403</v>
      </c>
      <c r="AB350" s="1"/>
      <c r="AC350" s="1"/>
      <c r="AD350" s="1"/>
      <c r="AE350" s="1" t="s">
        <v>3797</v>
      </c>
      <c r="AF350" s="1" t="s">
        <v>9</v>
      </c>
      <c r="AG350" s="4">
        <v>1</v>
      </c>
      <c r="AH350" s="1"/>
      <c r="AI350" s="6">
        <v>44926</v>
      </c>
    </row>
    <row r="351" spans="1:35" x14ac:dyDescent="0.3">
      <c r="A351" s="1" t="s">
        <v>2155</v>
      </c>
      <c r="B351" s="2" t="str">
        <f>HYPERLINK("https://my.zakupki.prom.ua/remote/dispatcher/state_purchase_view/34691301")</f>
        <v>https://my.zakupki.prom.ua/remote/dispatcher/state_purchase_view/34691301</v>
      </c>
      <c r="C351" s="1" t="s">
        <v>3004</v>
      </c>
      <c r="D351" s="1" t="s">
        <v>1115</v>
      </c>
      <c r="E351" s="4">
        <v>400</v>
      </c>
      <c r="F351" s="5">
        <v>537.5</v>
      </c>
      <c r="G351" s="1" t="s">
        <v>4919</v>
      </c>
      <c r="H351" s="1" t="s">
        <v>783</v>
      </c>
      <c r="I351" s="1" t="s">
        <v>2448</v>
      </c>
      <c r="J351" s="5">
        <v>215000</v>
      </c>
      <c r="K351" s="1" t="s">
        <v>3394</v>
      </c>
      <c r="L351" s="5">
        <v>1075</v>
      </c>
      <c r="M351" s="1" t="s">
        <v>2308</v>
      </c>
      <c r="N351" s="1" t="s">
        <v>3983</v>
      </c>
      <c r="O351" s="1" t="s">
        <v>1214</v>
      </c>
      <c r="P351" s="1" t="s">
        <v>2515</v>
      </c>
      <c r="Q351" s="1" t="s">
        <v>2756</v>
      </c>
      <c r="R351" s="1" t="s">
        <v>4124</v>
      </c>
      <c r="S351" s="1" t="s">
        <v>4971</v>
      </c>
      <c r="T351" s="6">
        <v>44593</v>
      </c>
      <c r="U351" s="6">
        <v>44593</v>
      </c>
      <c r="V351" s="7">
        <v>0.56927495559027774</v>
      </c>
      <c r="W351" s="6">
        <v>44609</v>
      </c>
      <c r="X351" s="7">
        <v>0</v>
      </c>
      <c r="Y351" s="8">
        <v>44609.508229166669</v>
      </c>
      <c r="Z351" s="5">
        <v>510</v>
      </c>
      <c r="AA351" s="1" t="s">
        <v>3403</v>
      </c>
      <c r="AB351" s="1"/>
      <c r="AC351" s="1"/>
      <c r="AD351" s="1"/>
      <c r="AE351" s="1" t="s">
        <v>3787</v>
      </c>
      <c r="AF351" s="1" t="s">
        <v>9</v>
      </c>
      <c r="AG351" s="4">
        <v>39</v>
      </c>
      <c r="AH351" s="1"/>
      <c r="AI351" s="6">
        <v>44651</v>
      </c>
    </row>
    <row r="352" spans="1:35" x14ac:dyDescent="0.3">
      <c r="A352" s="1" t="s">
        <v>2153</v>
      </c>
      <c r="B352" s="2" t="str">
        <f>HYPERLINK("https://my.zakupki.prom.ua/remote/dispatcher/state_purchase_lot_view/740752")</f>
        <v>https://my.zakupki.prom.ua/remote/dispatcher/state_purchase_lot_view/740752</v>
      </c>
      <c r="C352" s="1" t="s">
        <v>2678</v>
      </c>
      <c r="D352" s="1" t="s">
        <v>1243</v>
      </c>
      <c r="E352" s="4">
        <v>1</v>
      </c>
      <c r="F352" s="5">
        <v>85980</v>
      </c>
      <c r="G352" s="1" t="s">
        <v>4940</v>
      </c>
      <c r="H352" s="1" t="s">
        <v>913</v>
      </c>
      <c r="I352" s="1" t="s">
        <v>3103</v>
      </c>
      <c r="J352" s="5">
        <v>106644</v>
      </c>
      <c r="K352" s="5">
        <v>85980</v>
      </c>
      <c r="L352" s="5">
        <v>429.9</v>
      </c>
      <c r="M352" s="1" t="s">
        <v>2308</v>
      </c>
      <c r="N352" s="1" t="s">
        <v>3983</v>
      </c>
      <c r="O352" s="1" t="s">
        <v>2521</v>
      </c>
      <c r="P352" s="1" t="s">
        <v>3956</v>
      </c>
      <c r="Q352" s="1" t="s">
        <v>2756</v>
      </c>
      <c r="R352" s="1" t="s">
        <v>4256</v>
      </c>
      <c r="S352" s="1" t="s">
        <v>4937</v>
      </c>
      <c r="T352" s="6">
        <v>44593</v>
      </c>
      <c r="U352" s="6">
        <v>44599</v>
      </c>
      <c r="V352" s="7">
        <v>0.54166666666666663</v>
      </c>
      <c r="W352" s="6">
        <v>44603</v>
      </c>
      <c r="X352" s="7">
        <v>0.54166666666666663</v>
      </c>
      <c r="Y352" s="1" t="s">
        <v>4860</v>
      </c>
      <c r="Z352" s="5">
        <v>340</v>
      </c>
      <c r="AA352" s="1" t="s">
        <v>3403</v>
      </c>
      <c r="AB352" s="1"/>
      <c r="AC352" s="1"/>
      <c r="AD352" s="1"/>
      <c r="AE352" s="1" t="s">
        <v>3738</v>
      </c>
      <c r="AF352" s="1" t="s">
        <v>9</v>
      </c>
      <c r="AG352" s="4">
        <v>10</v>
      </c>
      <c r="AH352" s="1"/>
      <c r="AI352" s="6">
        <v>44926</v>
      </c>
    </row>
    <row r="353" spans="1:35" x14ac:dyDescent="0.3">
      <c r="A353" s="1" t="s">
        <v>2153</v>
      </c>
      <c r="B353" s="2" t="str">
        <f>HYPERLINK("https://my.zakupki.prom.ua/remote/dispatcher/state_purchase_lot_view/740753")</f>
        <v>https://my.zakupki.prom.ua/remote/dispatcher/state_purchase_lot_view/740753</v>
      </c>
      <c r="C353" s="1" t="s">
        <v>2679</v>
      </c>
      <c r="D353" s="1" t="s">
        <v>1243</v>
      </c>
      <c r="E353" s="4">
        <v>1</v>
      </c>
      <c r="F353" s="5">
        <v>20664</v>
      </c>
      <c r="G353" s="1" t="s">
        <v>4940</v>
      </c>
      <c r="H353" s="1" t="s">
        <v>913</v>
      </c>
      <c r="I353" s="1" t="s">
        <v>3103</v>
      </c>
      <c r="J353" s="5">
        <v>106644</v>
      </c>
      <c r="K353" s="5">
        <v>20664</v>
      </c>
      <c r="L353" s="5">
        <v>103.32</v>
      </c>
      <c r="M353" s="1" t="s">
        <v>2308</v>
      </c>
      <c r="N353" s="1" t="s">
        <v>3983</v>
      </c>
      <c r="O353" s="1" t="s">
        <v>2521</v>
      </c>
      <c r="P353" s="1" t="s">
        <v>3956</v>
      </c>
      <c r="Q353" s="1" t="s">
        <v>2756</v>
      </c>
      <c r="R353" s="1" t="s">
        <v>4256</v>
      </c>
      <c r="S353" s="1" t="s">
        <v>4937</v>
      </c>
      <c r="T353" s="6">
        <v>44593</v>
      </c>
      <c r="U353" s="6">
        <v>44599</v>
      </c>
      <c r="V353" s="7">
        <v>0.54166666666666663</v>
      </c>
      <c r="W353" s="6">
        <v>44603</v>
      </c>
      <c r="X353" s="7">
        <v>0.54166666666666663</v>
      </c>
      <c r="Y353" s="1" t="s">
        <v>4860</v>
      </c>
      <c r="Z353" s="5">
        <v>119</v>
      </c>
      <c r="AA353" s="1" t="s">
        <v>3403</v>
      </c>
      <c r="AB353" s="1"/>
      <c r="AC353" s="1"/>
      <c r="AD353" s="1"/>
      <c r="AE353" s="1" t="s">
        <v>3738</v>
      </c>
      <c r="AF353" s="1" t="s">
        <v>9</v>
      </c>
      <c r="AG353" s="4">
        <v>10</v>
      </c>
      <c r="AH353" s="1"/>
      <c r="AI353" s="6">
        <v>44926</v>
      </c>
    </row>
    <row r="354" spans="1:35" x14ac:dyDescent="0.3">
      <c r="A354" s="1" t="s">
        <v>2152</v>
      </c>
      <c r="B354" s="2" t="str">
        <f>HYPERLINK("https://my.zakupki.prom.ua/remote/dispatcher/state_purchase_view/34691254")</f>
        <v>https://my.zakupki.prom.ua/remote/dispatcher/state_purchase_view/34691254</v>
      </c>
      <c r="C354" s="1" t="s">
        <v>4844</v>
      </c>
      <c r="D354" s="1" t="s">
        <v>174</v>
      </c>
      <c r="E354" s="4">
        <v>28000</v>
      </c>
      <c r="F354" s="5">
        <v>4.8</v>
      </c>
      <c r="G354" s="1" t="s">
        <v>4991</v>
      </c>
      <c r="H354" s="1" t="s">
        <v>199</v>
      </c>
      <c r="I354" s="1" t="s">
        <v>2858</v>
      </c>
      <c r="J354" s="5">
        <v>134400</v>
      </c>
      <c r="K354" s="1" t="s">
        <v>3394</v>
      </c>
      <c r="L354" s="5">
        <v>1344</v>
      </c>
      <c r="M354" s="1" t="s">
        <v>2308</v>
      </c>
      <c r="N354" s="1" t="s">
        <v>3983</v>
      </c>
      <c r="O354" s="1" t="s">
        <v>2521</v>
      </c>
      <c r="P354" s="1" t="s">
        <v>3956</v>
      </c>
      <c r="Q354" s="1" t="s">
        <v>2761</v>
      </c>
      <c r="R354" s="1" t="s">
        <v>4591</v>
      </c>
      <c r="S354" s="1" t="s">
        <v>4937</v>
      </c>
      <c r="T354" s="6">
        <v>44593</v>
      </c>
      <c r="U354" s="6">
        <v>44600</v>
      </c>
      <c r="V354" s="7">
        <v>0.5</v>
      </c>
      <c r="W354" s="6">
        <v>44603</v>
      </c>
      <c r="X354" s="7">
        <v>0.99930555555555556</v>
      </c>
      <c r="Y354" s="1" t="s">
        <v>4860</v>
      </c>
      <c r="Z354" s="5">
        <v>340</v>
      </c>
      <c r="AA354" s="1" t="s">
        <v>3403</v>
      </c>
      <c r="AB354" s="1"/>
      <c r="AC354" s="1"/>
      <c r="AD354" s="1"/>
      <c r="AE354" s="1" t="s">
        <v>3788</v>
      </c>
      <c r="AF354" s="1" t="s">
        <v>9</v>
      </c>
      <c r="AG354" s="4">
        <v>16</v>
      </c>
      <c r="AH354" s="1"/>
      <c r="AI354" s="6">
        <v>44926</v>
      </c>
    </row>
    <row r="355" spans="1:35" x14ac:dyDescent="0.3">
      <c r="A355" s="1" t="s">
        <v>2151</v>
      </c>
      <c r="B355" s="2" t="str">
        <f>HYPERLINK("https://my.zakupki.prom.ua/remote/dispatcher/state_purchase_view/34681272")</f>
        <v>https://my.zakupki.prom.ua/remote/dispatcher/state_purchase_view/34681272</v>
      </c>
      <c r="C355" s="1" t="s">
        <v>3353</v>
      </c>
      <c r="D355" s="1" t="s">
        <v>451</v>
      </c>
      <c r="E355" s="1" t="s">
        <v>4903</v>
      </c>
      <c r="F355" s="1" t="s">
        <v>4903</v>
      </c>
      <c r="G355" s="1" t="s">
        <v>4903</v>
      </c>
      <c r="H355" s="1" t="s">
        <v>971</v>
      </c>
      <c r="I355" s="1" t="s">
        <v>3821</v>
      </c>
      <c r="J355" s="5">
        <v>39964</v>
      </c>
      <c r="K355" s="1" t="s">
        <v>3394</v>
      </c>
      <c r="L355" s="5">
        <v>399.64</v>
      </c>
      <c r="M355" s="1" t="s">
        <v>2308</v>
      </c>
      <c r="N355" s="1" t="s">
        <v>3403</v>
      </c>
      <c r="O355" s="1" t="s">
        <v>2521</v>
      </c>
      <c r="P355" s="1" t="s">
        <v>2515</v>
      </c>
      <c r="Q355" s="1" t="s">
        <v>4911</v>
      </c>
      <c r="R355" s="1" t="s">
        <v>4081</v>
      </c>
      <c r="S355" s="1" t="s">
        <v>4971</v>
      </c>
      <c r="T355" s="6">
        <v>44593</v>
      </c>
      <c r="U355" s="6">
        <v>44593</v>
      </c>
      <c r="V355" s="7">
        <v>0.56790937562499999</v>
      </c>
      <c r="W355" s="6">
        <v>44609</v>
      </c>
      <c r="X355" s="7">
        <v>0.75</v>
      </c>
      <c r="Y355" s="8">
        <v>44610.571377314816</v>
      </c>
      <c r="Z355" s="5">
        <v>119</v>
      </c>
      <c r="AA355" s="1" t="s">
        <v>3403</v>
      </c>
      <c r="AB355" s="1"/>
      <c r="AC355" s="1"/>
      <c r="AD355" s="1"/>
      <c r="AE355" s="1" t="s">
        <v>3787</v>
      </c>
      <c r="AF355" s="1" t="s">
        <v>9</v>
      </c>
      <c r="AG355" s="4">
        <v>618</v>
      </c>
      <c r="AH355" s="1"/>
      <c r="AI355" s="6">
        <v>44926</v>
      </c>
    </row>
    <row r="356" spans="1:35" x14ac:dyDescent="0.3">
      <c r="A356" s="1" t="s">
        <v>2150</v>
      </c>
      <c r="B356" s="2" t="str">
        <f>HYPERLINK("https://my.zakupki.prom.ua/remote/dispatcher/state_purchase_view/34691229")</f>
        <v>https://my.zakupki.prom.ua/remote/dispatcher/state_purchase_view/34691229</v>
      </c>
      <c r="C356" s="1" t="s">
        <v>2683</v>
      </c>
      <c r="D356" s="1" t="s">
        <v>445</v>
      </c>
      <c r="E356" s="1" t="s">
        <v>4903</v>
      </c>
      <c r="F356" s="1" t="s">
        <v>4903</v>
      </c>
      <c r="G356" s="1" t="s">
        <v>4903</v>
      </c>
      <c r="H356" s="1" t="s">
        <v>99</v>
      </c>
      <c r="I356" s="1" t="s">
        <v>3183</v>
      </c>
      <c r="J356" s="5">
        <v>199000</v>
      </c>
      <c r="K356" s="1" t="s">
        <v>3394</v>
      </c>
      <c r="L356" s="5">
        <v>995</v>
      </c>
      <c r="M356" s="1" t="s">
        <v>2308</v>
      </c>
      <c r="N356" s="1" t="s">
        <v>3983</v>
      </c>
      <c r="O356" s="1" t="s">
        <v>2521</v>
      </c>
      <c r="P356" s="1" t="s">
        <v>3956</v>
      </c>
      <c r="Q356" s="1" t="s">
        <v>3878</v>
      </c>
      <c r="R356" s="1" t="s">
        <v>4559</v>
      </c>
      <c r="S356" s="1" t="s">
        <v>4937</v>
      </c>
      <c r="T356" s="6">
        <v>44593</v>
      </c>
      <c r="U356" s="6">
        <v>44599</v>
      </c>
      <c r="V356" s="7">
        <v>0.625</v>
      </c>
      <c r="W356" s="6">
        <v>44603</v>
      </c>
      <c r="X356" s="7">
        <v>0.56666666666666665</v>
      </c>
      <c r="Y356" s="1" t="s">
        <v>4860</v>
      </c>
      <c r="Z356" s="5">
        <v>340</v>
      </c>
      <c r="AA356" s="1" t="s">
        <v>3403</v>
      </c>
      <c r="AB356" s="1"/>
      <c r="AC356" s="1"/>
      <c r="AD356" s="1"/>
      <c r="AE356" s="1" t="s">
        <v>3767</v>
      </c>
      <c r="AF356" s="1" t="s">
        <v>9</v>
      </c>
      <c r="AG356" s="4">
        <v>3</v>
      </c>
      <c r="AH356" s="1"/>
      <c r="AI356" s="6">
        <v>44926</v>
      </c>
    </row>
    <row r="357" spans="1:35" x14ac:dyDescent="0.3">
      <c r="A357" s="1" t="s">
        <v>1735</v>
      </c>
      <c r="B357" s="2" t="str">
        <f>HYPERLINK("https://my.zakupki.prom.ua/remote/dispatcher/state_purchase_view/34691184")</f>
        <v>https://my.zakupki.prom.ua/remote/dispatcher/state_purchase_view/34691184</v>
      </c>
      <c r="C357" s="1" t="s">
        <v>3535</v>
      </c>
      <c r="D357" s="1" t="s">
        <v>1216</v>
      </c>
      <c r="E357" s="4">
        <v>1</v>
      </c>
      <c r="F357" s="5">
        <v>15491</v>
      </c>
      <c r="G357" s="1" t="s">
        <v>4939</v>
      </c>
      <c r="H357" s="1" t="s">
        <v>748</v>
      </c>
      <c r="I357" s="1" t="s">
        <v>2968</v>
      </c>
      <c r="J357" s="5">
        <v>15491</v>
      </c>
      <c r="K357" s="1" t="s">
        <v>3394</v>
      </c>
      <c r="L357" s="5">
        <v>154.91</v>
      </c>
      <c r="M357" s="1" t="s">
        <v>2308</v>
      </c>
      <c r="N357" s="1" t="s">
        <v>3403</v>
      </c>
      <c r="O357" s="1" t="s">
        <v>2521</v>
      </c>
      <c r="P357" s="1" t="s">
        <v>3956</v>
      </c>
      <c r="Q357" s="1" t="s">
        <v>2820</v>
      </c>
      <c r="R357" s="1" t="s">
        <v>4081</v>
      </c>
      <c r="S357" s="1" t="s">
        <v>4937</v>
      </c>
      <c r="T357" s="6">
        <v>44593</v>
      </c>
      <c r="U357" s="6">
        <v>44599</v>
      </c>
      <c r="V357" s="7">
        <v>0.46180555555555558</v>
      </c>
      <c r="W357" s="6">
        <v>44602</v>
      </c>
      <c r="X357" s="7">
        <v>3.472222222222222E-3</v>
      </c>
      <c r="Y357" s="1" t="s">
        <v>4860</v>
      </c>
      <c r="Z357" s="5">
        <v>17</v>
      </c>
      <c r="AA357" s="1" t="s">
        <v>3403</v>
      </c>
      <c r="AB357" s="1"/>
      <c r="AC357" s="1"/>
      <c r="AD357" s="1"/>
      <c r="AE357" s="1" t="s">
        <v>2366</v>
      </c>
      <c r="AF357" s="1" t="s">
        <v>9</v>
      </c>
      <c r="AG357" s="4">
        <v>51</v>
      </c>
      <c r="AH357" s="1"/>
      <c r="AI357" s="6">
        <v>44997</v>
      </c>
    </row>
    <row r="358" spans="1:35" x14ac:dyDescent="0.3">
      <c r="A358" s="1" t="s">
        <v>2145</v>
      </c>
      <c r="B358" s="2" t="str">
        <f>HYPERLINK("https://my.zakupki.prom.ua/remote/dispatcher/state_purchase_view/34691163")</f>
        <v>https://my.zakupki.prom.ua/remote/dispatcher/state_purchase_view/34691163</v>
      </c>
      <c r="C358" s="1" t="s">
        <v>3550</v>
      </c>
      <c r="D358" s="1" t="s">
        <v>1180</v>
      </c>
      <c r="E358" s="4">
        <v>1</v>
      </c>
      <c r="F358" s="5">
        <v>23696.69</v>
      </c>
      <c r="G358" s="1" t="s">
        <v>4939</v>
      </c>
      <c r="H358" s="1" t="s">
        <v>964</v>
      </c>
      <c r="I358" s="1" t="s">
        <v>2932</v>
      </c>
      <c r="J358" s="5">
        <v>23696.69</v>
      </c>
      <c r="K358" s="1" t="s">
        <v>3394</v>
      </c>
      <c r="L358" s="5">
        <v>236.97</v>
      </c>
      <c r="M358" s="1" t="s">
        <v>2308</v>
      </c>
      <c r="N358" s="1" t="s">
        <v>3983</v>
      </c>
      <c r="O358" s="1" t="s">
        <v>2521</v>
      </c>
      <c r="P358" s="1" t="s">
        <v>3956</v>
      </c>
      <c r="Q358" s="1" t="s">
        <v>3035</v>
      </c>
      <c r="R358" s="1" t="s">
        <v>4081</v>
      </c>
      <c r="S358" s="1" t="s">
        <v>4937</v>
      </c>
      <c r="T358" s="6">
        <v>44593</v>
      </c>
      <c r="U358" s="6">
        <v>44599</v>
      </c>
      <c r="V358" s="7">
        <v>0.70833333333333337</v>
      </c>
      <c r="W358" s="6">
        <v>44602</v>
      </c>
      <c r="X358" s="7">
        <v>0.70833333333333337</v>
      </c>
      <c r="Y358" s="1" t="s">
        <v>4860</v>
      </c>
      <c r="Z358" s="5">
        <v>119</v>
      </c>
      <c r="AA358" s="1" t="s">
        <v>3403</v>
      </c>
      <c r="AB358" s="1"/>
      <c r="AC358" s="1"/>
      <c r="AD358" s="1"/>
      <c r="AE358" s="1" t="s">
        <v>3763</v>
      </c>
      <c r="AF358" s="1" t="s">
        <v>9</v>
      </c>
      <c r="AG358" s="4">
        <v>95</v>
      </c>
      <c r="AH358" s="1"/>
      <c r="AI358" s="6">
        <v>44926</v>
      </c>
    </row>
    <row r="359" spans="1:35" x14ac:dyDescent="0.3">
      <c r="A359" s="1" t="s">
        <v>1742</v>
      </c>
      <c r="B359" s="2" t="str">
        <f>HYPERLINK("https://my.zakupki.prom.ua/remote/dispatcher/state_purchase_view/34691147")</f>
        <v>https://my.zakupki.prom.ua/remote/dispatcher/state_purchase_view/34691147</v>
      </c>
      <c r="C359" s="1" t="s">
        <v>3613</v>
      </c>
      <c r="D359" s="1" t="s">
        <v>1207</v>
      </c>
      <c r="E359" s="4">
        <v>1</v>
      </c>
      <c r="F359" s="5">
        <v>178000</v>
      </c>
      <c r="G359" s="1" t="s">
        <v>4940</v>
      </c>
      <c r="H359" s="1" t="s">
        <v>885</v>
      </c>
      <c r="I359" s="1" t="s">
        <v>2746</v>
      </c>
      <c r="J359" s="5">
        <v>178000</v>
      </c>
      <c r="K359" s="1" t="s">
        <v>3394</v>
      </c>
      <c r="L359" s="5">
        <v>1780</v>
      </c>
      <c r="M359" s="1" t="s">
        <v>2308</v>
      </c>
      <c r="N359" s="1" t="s">
        <v>3983</v>
      </c>
      <c r="O359" s="1" t="s">
        <v>2521</v>
      </c>
      <c r="P359" s="1" t="s">
        <v>3956</v>
      </c>
      <c r="Q359" s="1" t="s">
        <v>3035</v>
      </c>
      <c r="R359" s="1" t="s">
        <v>4668</v>
      </c>
      <c r="S359" s="1" t="s">
        <v>4937</v>
      </c>
      <c r="T359" s="6">
        <v>44593</v>
      </c>
      <c r="U359" s="6">
        <v>44599</v>
      </c>
      <c r="V359" s="7">
        <v>0</v>
      </c>
      <c r="W359" s="6">
        <v>44602</v>
      </c>
      <c r="X359" s="7">
        <v>0</v>
      </c>
      <c r="Y359" s="1" t="s">
        <v>4860</v>
      </c>
      <c r="Z359" s="5">
        <v>340</v>
      </c>
      <c r="AA359" s="1" t="s">
        <v>3403</v>
      </c>
      <c r="AB359" s="1"/>
      <c r="AC359" s="1"/>
      <c r="AD359" s="1"/>
      <c r="AE359" s="1" t="s">
        <v>3729</v>
      </c>
      <c r="AF359" s="1" t="s">
        <v>9</v>
      </c>
      <c r="AG359" s="4">
        <v>19</v>
      </c>
      <c r="AH359" s="1"/>
      <c r="AI359" s="6">
        <v>44926</v>
      </c>
    </row>
    <row r="360" spans="1:35" x14ac:dyDescent="0.3">
      <c r="A360" s="1" t="s">
        <v>1454</v>
      </c>
      <c r="B360" s="2" t="str">
        <f>HYPERLINK("https://my.zakupki.prom.ua/remote/dispatcher/state_purchase_view/34691134")</f>
        <v>https://my.zakupki.prom.ua/remote/dispatcher/state_purchase_view/34691134</v>
      </c>
      <c r="C360" s="1" t="s">
        <v>3551</v>
      </c>
      <c r="D360" s="1" t="s">
        <v>1180</v>
      </c>
      <c r="E360" s="4">
        <v>1</v>
      </c>
      <c r="F360" s="5">
        <v>23730.959999999999</v>
      </c>
      <c r="G360" s="1" t="s">
        <v>4939</v>
      </c>
      <c r="H360" s="1" t="s">
        <v>964</v>
      </c>
      <c r="I360" s="1" t="s">
        <v>2932</v>
      </c>
      <c r="J360" s="5">
        <v>23730.959999999999</v>
      </c>
      <c r="K360" s="1" t="s">
        <v>3394</v>
      </c>
      <c r="L360" s="5">
        <v>237.31</v>
      </c>
      <c r="M360" s="1" t="s">
        <v>2308</v>
      </c>
      <c r="N360" s="1" t="s">
        <v>3983</v>
      </c>
      <c r="O360" s="1" t="s">
        <v>2521</v>
      </c>
      <c r="P360" s="1" t="s">
        <v>3956</v>
      </c>
      <c r="Q360" s="1" t="s">
        <v>3035</v>
      </c>
      <c r="R360" s="1" t="s">
        <v>4081</v>
      </c>
      <c r="S360" s="1" t="s">
        <v>4937</v>
      </c>
      <c r="T360" s="6">
        <v>44593</v>
      </c>
      <c r="U360" s="6">
        <v>44599</v>
      </c>
      <c r="V360" s="7">
        <v>0.70833333333333337</v>
      </c>
      <c r="W360" s="6">
        <v>44602</v>
      </c>
      <c r="X360" s="7">
        <v>0.70833333333333337</v>
      </c>
      <c r="Y360" s="1" t="s">
        <v>4860</v>
      </c>
      <c r="Z360" s="5">
        <v>119</v>
      </c>
      <c r="AA360" s="1" t="s">
        <v>3403</v>
      </c>
      <c r="AB360" s="1"/>
      <c r="AC360" s="1"/>
      <c r="AD360" s="1"/>
      <c r="AE360" s="1" t="s">
        <v>3763</v>
      </c>
      <c r="AF360" s="1" t="s">
        <v>9</v>
      </c>
      <c r="AG360" s="4">
        <v>95</v>
      </c>
      <c r="AH360" s="1"/>
      <c r="AI360" s="6">
        <v>44926</v>
      </c>
    </row>
    <row r="361" spans="1:35" x14ac:dyDescent="0.3">
      <c r="A361" s="1" t="s">
        <v>1738</v>
      </c>
      <c r="B361" s="2" t="str">
        <f>HYPERLINK("https://my.zakupki.prom.ua/remote/dispatcher/state_purchase_view/34691107")</f>
        <v>https://my.zakupki.prom.ua/remote/dispatcher/state_purchase_view/34691107</v>
      </c>
      <c r="C361" s="1" t="s">
        <v>2496</v>
      </c>
      <c r="D361" s="1" t="s">
        <v>1263</v>
      </c>
      <c r="E361" s="1" t="s">
        <v>4903</v>
      </c>
      <c r="F361" s="1" t="s">
        <v>4903</v>
      </c>
      <c r="G361" s="1" t="s">
        <v>4903</v>
      </c>
      <c r="H361" s="1" t="s">
        <v>68</v>
      </c>
      <c r="I361" s="1" t="s">
        <v>3131</v>
      </c>
      <c r="J361" s="5">
        <v>149000</v>
      </c>
      <c r="K361" s="1" t="s">
        <v>3394</v>
      </c>
      <c r="L361" s="5">
        <v>745</v>
      </c>
      <c r="M361" s="1" t="s">
        <v>2308</v>
      </c>
      <c r="N361" s="1" t="s">
        <v>3983</v>
      </c>
      <c r="O361" s="1" t="s">
        <v>2521</v>
      </c>
      <c r="P361" s="1" t="s">
        <v>3956</v>
      </c>
      <c r="Q361" s="1" t="s">
        <v>2796</v>
      </c>
      <c r="R361" s="1" t="s">
        <v>4440</v>
      </c>
      <c r="S361" s="1" t="s">
        <v>4937</v>
      </c>
      <c r="T361" s="6">
        <v>44593</v>
      </c>
      <c r="U361" s="6">
        <v>44597</v>
      </c>
      <c r="V361" s="7">
        <v>0.375</v>
      </c>
      <c r="W361" s="6">
        <v>44602</v>
      </c>
      <c r="X361" s="7">
        <v>0.375</v>
      </c>
      <c r="Y361" s="1" t="s">
        <v>4860</v>
      </c>
      <c r="Z361" s="5">
        <v>340</v>
      </c>
      <c r="AA361" s="1" t="s">
        <v>3403</v>
      </c>
      <c r="AB361" s="1"/>
      <c r="AC361" s="1"/>
      <c r="AD361" s="1"/>
      <c r="AE361" s="1" t="s">
        <v>3749</v>
      </c>
      <c r="AF361" s="1" t="s">
        <v>9</v>
      </c>
      <c r="AG361" s="4">
        <v>26</v>
      </c>
      <c r="AH361" s="1"/>
      <c r="AI361" s="6">
        <v>44926</v>
      </c>
    </row>
    <row r="362" spans="1:35" x14ac:dyDescent="0.3">
      <c r="A362" s="1" t="s">
        <v>1449</v>
      </c>
      <c r="B362" s="2" t="str">
        <f>HYPERLINK("https://my.zakupki.prom.ua/remote/dispatcher/state_purchase_view/34691097")</f>
        <v>https://my.zakupki.prom.ua/remote/dispatcher/state_purchase_view/34691097</v>
      </c>
      <c r="C362" s="1" t="s">
        <v>2777</v>
      </c>
      <c r="D362" s="1" t="s">
        <v>387</v>
      </c>
      <c r="E362" s="4">
        <v>26965</v>
      </c>
      <c r="F362" s="5">
        <v>6.66</v>
      </c>
      <c r="G362" s="1" t="s">
        <v>4879</v>
      </c>
      <c r="H362" s="1" t="s">
        <v>639</v>
      </c>
      <c r="I362" s="1" t="s">
        <v>2839</v>
      </c>
      <c r="J362" s="5">
        <v>179586.9</v>
      </c>
      <c r="K362" s="1" t="s">
        <v>3394</v>
      </c>
      <c r="L362" s="5">
        <v>897.93</v>
      </c>
      <c r="M362" s="1" t="s">
        <v>2308</v>
      </c>
      <c r="N362" s="1" t="s">
        <v>3983</v>
      </c>
      <c r="O362" s="1" t="s">
        <v>2521</v>
      </c>
      <c r="P362" s="1" t="s">
        <v>3956</v>
      </c>
      <c r="Q362" s="1" t="s">
        <v>2820</v>
      </c>
      <c r="R362" s="1" t="s">
        <v>4178</v>
      </c>
      <c r="S362" s="1" t="s">
        <v>4937</v>
      </c>
      <c r="T362" s="6">
        <v>44593</v>
      </c>
      <c r="U362" s="6">
        <v>44597</v>
      </c>
      <c r="V362" s="7">
        <v>0.56747685185185182</v>
      </c>
      <c r="W362" s="6">
        <v>44602</v>
      </c>
      <c r="X362" s="7">
        <v>0.56747685185185182</v>
      </c>
      <c r="Y362" s="1" t="s">
        <v>4860</v>
      </c>
      <c r="Z362" s="5">
        <v>340</v>
      </c>
      <c r="AA362" s="1" t="s">
        <v>3403</v>
      </c>
      <c r="AB362" s="1"/>
      <c r="AC362" s="1"/>
      <c r="AD362" s="1"/>
      <c r="AE362" s="1" t="s">
        <v>3768</v>
      </c>
      <c r="AF362" s="1" t="s">
        <v>9</v>
      </c>
      <c r="AG362" s="1" t="s">
        <v>9</v>
      </c>
      <c r="AH362" s="1"/>
      <c r="AI362" s="6">
        <v>44926</v>
      </c>
    </row>
    <row r="363" spans="1:35" x14ac:dyDescent="0.3">
      <c r="A363" s="1" t="s">
        <v>2140</v>
      </c>
      <c r="B363" s="2" t="str">
        <f>HYPERLINK("https://my.zakupki.prom.ua/remote/dispatcher/state_purchase_view/34691093")</f>
        <v>https://my.zakupki.prom.ua/remote/dispatcher/state_purchase_view/34691093</v>
      </c>
      <c r="C363" s="1" t="s">
        <v>2817</v>
      </c>
      <c r="D363" s="1" t="s">
        <v>825</v>
      </c>
      <c r="E363" s="1" t="s">
        <v>4903</v>
      </c>
      <c r="F363" s="1" t="s">
        <v>4903</v>
      </c>
      <c r="G363" s="1" t="s">
        <v>4903</v>
      </c>
      <c r="H363" s="1" t="s">
        <v>239</v>
      </c>
      <c r="I363" s="1" t="s">
        <v>2984</v>
      </c>
      <c r="J363" s="5">
        <v>104670</v>
      </c>
      <c r="K363" s="1" t="s">
        <v>3394</v>
      </c>
      <c r="L363" s="5">
        <v>1046.7</v>
      </c>
      <c r="M363" s="1" t="s">
        <v>2308</v>
      </c>
      <c r="N363" s="1" t="s">
        <v>3983</v>
      </c>
      <c r="O363" s="1" t="s">
        <v>2521</v>
      </c>
      <c r="P363" s="1" t="s">
        <v>3956</v>
      </c>
      <c r="Q363" s="1" t="s">
        <v>3325</v>
      </c>
      <c r="R363" s="1" t="s">
        <v>4593</v>
      </c>
      <c r="S363" s="1" t="s">
        <v>4937</v>
      </c>
      <c r="T363" s="6">
        <v>44593</v>
      </c>
      <c r="U363" s="6">
        <v>44599</v>
      </c>
      <c r="V363" s="7">
        <v>0.58333333333333337</v>
      </c>
      <c r="W363" s="6">
        <v>44602</v>
      </c>
      <c r="X363" s="7">
        <v>0.375</v>
      </c>
      <c r="Y363" s="1" t="s">
        <v>4860</v>
      </c>
      <c r="Z363" s="5">
        <v>340</v>
      </c>
      <c r="AA363" s="1" t="s">
        <v>3403</v>
      </c>
      <c r="AB363" s="1"/>
      <c r="AC363" s="1"/>
      <c r="AD363" s="1"/>
      <c r="AE363" s="1" t="s">
        <v>3781</v>
      </c>
      <c r="AF363" s="1" t="s">
        <v>9</v>
      </c>
      <c r="AG363" s="1" t="s">
        <v>9</v>
      </c>
      <c r="AH363" s="1"/>
      <c r="AI363" s="6">
        <v>44926</v>
      </c>
    </row>
    <row r="364" spans="1:35" x14ac:dyDescent="0.3">
      <c r="A364" s="1" t="s">
        <v>1420</v>
      </c>
      <c r="B364" s="2" t="str">
        <f>HYPERLINK("https://my.zakupki.prom.ua/remote/dispatcher/state_purchase_view/34691076")</f>
        <v>https://my.zakupki.prom.ua/remote/dispatcher/state_purchase_view/34691076</v>
      </c>
      <c r="C364" s="1" t="s">
        <v>1111</v>
      </c>
      <c r="D364" s="1" t="s">
        <v>1110</v>
      </c>
      <c r="E364" s="4">
        <v>7</v>
      </c>
      <c r="F364" s="5">
        <v>8571.43</v>
      </c>
      <c r="G364" s="1" t="s">
        <v>4897</v>
      </c>
      <c r="H364" s="1" t="s">
        <v>135</v>
      </c>
      <c r="I364" s="1" t="s">
        <v>2738</v>
      </c>
      <c r="J364" s="5">
        <v>60000</v>
      </c>
      <c r="K364" s="1" t="s">
        <v>3394</v>
      </c>
      <c r="L364" s="5">
        <v>300</v>
      </c>
      <c r="M364" s="1" t="s">
        <v>2308</v>
      </c>
      <c r="N364" s="1" t="s">
        <v>3983</v>
      </c>
      <c r="O364" s="1" t="s">
        <v>2521</v>
      </c>
      <c r="P364" s="1" t="s">
        <v>3956</v>
      </c>
      <c r="Q364" s="1" t="s">
        <v>2761</v>
      </c>
      <c r="R364" s="1" t="s">
        <v>4661</v>
      </c>
      <c r="S364" s="1" t="s">
        <v>4937</v>
      </c>
      <c r="T364" s="6">
        <v>44593</v>
      </c>
      <c r="U364" s="6">
        <v>44599</v>
      </c>
      <c r="V364" s="7">
        <v>0.54789351851851853</v>
      </c>
      <c r="W364" s="6">
        <v>44602</v>
      </c>
      <c r="X364" s="7">
        <v>0.54789351851851853</v>
      </c>
      <c r="Y364" s="1" t="s">
        <v>4860</v>
      </c>
      <c r="Z364" s="5">
        <v>340</v>
      </c>
      <c r="AA364" s="1" t="s">
        <v>3403</v>
      </c>
      <c r="AB364" s="1"/>
      <c r="AC364" s="1"/>
      <c r="AD364" s="1"/>
      <c r="AE364" s="1" t="s">
        <v>3768</v>
      </c>
      <c r="AF364" s="1" t="s">
        <v>9</v>
      </c>
      <c r="AG364" s="4">
        <v>1</v>
      </c>
      <c r="AH364" s="1"/>
      <c r="AI364" s="6">
        <v>44620</v>
      </c>
    </row>
    <row r="365" spans="1:35" x14ac:dyDescent="0.3">
      <c r="A365" s="1" t="s">
        <v>1698</v>
      </c>
      <c r="B365" s="2" t="str">
        <f>HYPERLINK("https://my.zakupki.prom.ua/remote/dispatcher/state_purchase_view/34691064")</f>
        <v>https://my.zakupki.prom.ua/remote/dispatcher/state_purchase_view/34691064</v>
      </c>
      <c r="C365" s="1" t="s">
        <v>2785</v>
      </c>
      <c r="D365" s="1" t="s">
        <v>1150</v>
      </c>
      <c r="E365" s="4">
        <v>1</v>
      </c>
      <c r="F365" s="5">
        <v>215000</v>
      </c>
      <c r="G365" s="1" t="s">
        <v>4940</v>
      </c>
      <c r="H365" s="1" t="s">
        <v>37</v>
      </c>
      <c r="I365" s="1" t="s">
        <v>4795</v>
      </c>
      <c r="J365" s="5">
        <v>215000</v>
      </c>
      <c r="K365" s="1" t="s">
        <v>3394</v>
      </c>
      <c r="L365" s="5">
        <v>1075</v>
      </c>
      <c r="M365" s="1" t="s">
        <v>2308</v>
      </c>
      <c r="N365" s="1" t="s">
        <v>3983</v>
      </c>
      <c r="O365" s="1" t="s">
        <v>2521</v>
      </c>
      <c r="P365" s="1" t="s">
        <v>2515</v>
      </c>
      <c r="Q365" s="1" t="s">
        <v>4794</v>
      </c>
      <c r="R365" s="1" t="s">
        <v>4669</v>
      </c>
      <c r="S365" s="1" t="s">
        <v>4971</v>
      </c>
      <c r="T365" s="6">
        <v>44593</v>
      </c>
      <c r="U365" s="6">
        <v>44593</v>
      </c>
      <c r="V365" s="7">
        <v>0.55213312256944447</v>
      </c>
      <c r="W365" s="6">
        <v>44609</v>
      </c>
      <c r="X365" s="7">
        <v>0</v>
      </c>
      <c r="Y365" s="8">
        <v>44609.606724537036</v>
      </c>
      <c r="Z365" s="5">
        <v>510</v>
      </c>
      <c r="AA365" s="1" t="s">
        <v>3403</v>
      </c>
      <c r="AB365" s="1"/>
      <c r="AC365" s="1"/>
      <c r="AD365" s="1"/>
      <c r="AE365" s="1" t="s">
        <v>3749</v>
      </c>
      <c r="AF365" s="1" t="s">
        <v>9</v>
      </c>
      <c r="AG365" s="4">
        <v>8</v>
      </c>
      <c r="AH365" s="1"/>
      <c r="AI365" s="6">
        <v>44926</v>
      </c>
    </row>
    <row r="366" spans="1:35" x14ac:dyDescent="0.3">
      <c r="A366" s="1" t="s">
        <v>2148</v>
      </c>
      <c r="B366" s="2" t="str">
        <f>HYPERLINK("https://my.zakupki.prom.ua/remote/dispatcher/state_purchase_view/34685568")</f>
        <v>https://my.zakupki.prom.ua/remote/dispatcher/state_purchase_view/34685568</v>
      </c>
      <c r="C366" s="1" t="s">
        <v>3052</v>
      </c>
      <c r="D366" s="1" t="s">
        <v>1094</v>
      </c>
      <c r="E366" s="4">
        <v>16160</v>
      </c>
      <c r="F366" s="5">
        <v>1899.97</v>
      </c>
      <c r="G366" s="1" t="s">
        <v>4991</v>
      </c>
      <c r="H366" s="1" t="s">
        <v>732</v>
      </c>
      <c r="I366" s="1" t="s">
        <v>2979</v>
      </c>
      <c r="J366" s="5">
        <v>30703470</v>
      </c>
      <c r="K366" s="1" t="s">
        <v>3394</v>
      </c>
      <c r="L366" s="5">
        <v>307034.7</v>
      </c>
      <c r="M366" s="1" t="s">
        <v>2308</v>
      </c>
      <c r="N366" s="1" t="s">
        <v>3983</v>
      </c>
      <c r="O366" s="1" t="s">
        <v>2521</v>
      </c>
      <c r="P366" s="1" t="s">
        <v>2516</v>
      </c>
      <c r="Q366" s="1" t="s">
        <v>4794</v>
      </c>
      <c r="R366" s="1" t="s">
        <v>4707</v>
      </c>
      <c r="S366" s="1" t="s">
        <v>4971</v>
      </c>
      <c r="T366" s="6">
        <v>44593</v>
      </c>
      <c r="U366" s="6">
        <v>44593</v>
      </c>
      <c r="V366" s="7">
        <v>0.56600171093750007</v>
      </c>
      <c r="W366" s="6">
        <v>44624</v>
      </c>
      <c r="X366" s="7">
        <v>0.41666666666666669</v>
      </c>
      <c r="Y366" s="8">
        <v>44662.658831018518</v>
      </c>
      <c r="Z366" s="5">
        <v>3400</v>
      </c>
      <c r="AA366" s="1" t="s">
        <v>3403</v>
      </c>
      <c r="AB366" s="1"/>
      <c r="AC366" s="1"/>
      <c r="AD366" s="1"/>
      <c r="AE366" s="1" t="s">
        <v>3790</v>
      </c>
      <c r="AF366" s="1" t="s">
        <v>9</v>
      </c>
      <c r="AG366" s="4">
        <v>37</v>
      </c>
      <c r="AH366" s="1"/>
      <c r="AI366" s="6">
        <v>44926</v>
      </c>
    </row>
    <row r="367" spans="1:35" x14ac:dyDescent="0.3">
      <c r="A367" s="1" t="s">
        <v>2147</v>
      </c>
      <c r="B367" s="2" t="str">
        <f>HYPERLINK("https://my.zakupki.prom.ua/remote/dispatcher/state_purchase_view/34639533")</f>
        <v>https://my.zakupki.prom.ua/remote/dispatcher/state_purchase_view/34639533</v>
      </c>
      <c r="C367" s="1" t="s">
        <v>2409</v>
      </c>
      <c r="D367" s="1" t="s">
        <v>377</v>
      </c>
      <c r="E367" s="1" t="s">
        <v>4903</v>
      </c>
      <c r="F367" s="1" t="s">
        <v>4903</v>
      </c>
      <c r="G367" s="1" t="s">
        <v>4903</v>
      </c>
      <c r="H367" s="1" t="s">
        <v>137</v>
      </c>
      <c r="I367" s="1" t="s">
        <v>3427</v>
      </c>
      <c r="J367" s="5">
        <v>178500</v>
      </c>
      <c r="K367" s="1" t="s">
        <v>3394</v>
      </c>
      <c r="L367" s="5">
        <v>1785</v>
      </c>
      <c r="M367" s="1" t="s">
        <v>2308</v>
      </c>
      <c r="N367" s="1" t="s">
        <v>3983</v>
      </c>
      <c r="O367" s="1" t="s">
        <v>2521</v>
      </c>
      <c r="P367" s="1" t="s">
        <v>3956</v>
      </c>
      <c r="Q367" s="1" t="s">
        <v>3426</v>
      </c>
      <c r="R367" s="1" t="s">
        <v>4279</v>
      </c>
      <c r="S367" s="1" t="s">
        <v>4937</v>
      </c>
      <c r="T367" s="6">
        <v>44593</v>
      </c>
      <c r="U367" s="6">
        <v>44599</v>
      </c>
      <c r="V367" s="7">
        <v>0.45833333333333331</v>
      </c>
      <c r="W367" s="6">
        <v>44602</v>
      </c>
      <c r="X367" s="7">
        <v>0</v>
      </c>
      <c r="Y367" s="1" t="s">
        <v>4860</v>
      </c>
      <c r="Z367" s="5">
        <v>340</v>
      </c>
      <c r="AA367" s="1" t="s">
        <v>3403</v>
      </c>
      <c r="AB367" s="1"/>
      <c r="AC367" s="1"/>
      <c r="AD367" s="1"/>
      <c r="AE367" s="1" t="s">
        <v>3795</v>
      </c>
      <c r="AF367" s="1" t="s">
        <v>9</v>
      </c>
      <c r="AG367" s="4">
        <v>2</v>
      </c>
      <c r="AH367" s="1"/>
      <c r="AI367" s="6">
        <v>44926</v>
      </c>
    </row>
    <row r="368" spans="1:35" x14ac:dyDescent="0.3">
      <c r="A368" s="1" t="s">
        <v>2146</v>
      </c>
      <c r="B368" s="2" t="str">
        <f>HYPERLINK("https://my.zakupki.prom.ua/remote/dispatcher/state_purchase_view/34690929")</f>
        <v>https://my.zakupki.prom.ua/remote/dispatcher/state_purchase_view/34690929</v>
      </c>
      <c r="C368" s="1" t="s">
        <v>3043</v>
      </c>
      <c r="D368" s="1" t="s">
        <v>449</v>
      </c>
      <c r="E368" s="1" t="s">
        <v>4903</v>
      </c>
      <c r="F368" s="1" t="s">
        <v>4903</v>
      </c>
      <c r="G368" s="1" t="s">
        <v>4903</v>
      </c>
      <c r="H368" s="1" t="s">
        <v>199</v>
      </c>
      <c r="I368" s="1" t="s">
        <v>2858</v>
      </c>
      <c r="J368" s="5">
        <v>144000</v>
      </c>
      <c r="K368" s="1" t="s">
        <v>3394</v>
      </c>
      <c r="L368" s="5">
        <v>1440</v>
      </c>
      <c r="M368" s="1" t="s">
        <v>2308</v>
      </c>
      <c r="N368" s="1" t="s">
        <v>3983</v>
      </c>
      <c r="O368" s="1" t="s">
        <v>2521</v>
      </c>
      <c r="P368" s="1" t="s">
        <v>3956</v>
      </c>
      <c r="Q368" s="1" t="s">
        <v>2761</v>
      </c>
      <c r="R368" s="1" t="s">
        <v>4591</v>
      </c>
      <c r="S368" s="1" t="s">
        <v>4937</v>
      </c>
      <c r="T368" s="6">
        <v>44593</v>
      </c>
      <c r="U368" s="6">
        <v>44600</v>
      </c>
      <c r="V368" s="7">
        <v>0.5</v>
      </c>
      <c r="W368" s="6">
        <v>44603</v>
      </c>
      <c r="X368" s="7">
        <v>0.99930555555555556</v>
      </c>
      <c r="Y368" s="1" t="s">
        <v>4860</v>
      </c>
      <c r="Z368" s="5">
        <v>340</v>
      </c>
      <c r="AA368" s="1" t="s">
        <v>3403</v>
      </c>
      <c r="AB368" s="1"/>
      <c r="AC368" s="1"/>
      <c r="AD368" s="1"/>
      <c r="AE368" s="1" t="s">
        <v>3788</v>
      </c>
      <c r="AF368" s="1" t="s">
        <v>9</v>
      </c>
      <c r="AG368" s="4">
        <v>16</v>
      </c>
      <c r="AH368" s="1"/>
      <c r="AI368" s="6">
        <v>44926</v>
      </c>
    </row>
    <row r="369" spans="1:35" x14ac:dyDescent="0.3">
      <c r="A369" s="1" t="s">
        <v>2144</v>
      </c>
      <c r="B369" s="2" t="str">
        <f>HYPERLINK("https://my.zakupki.prom.ua/remote/dispatcher/state_purchase_view/34690441")</f>
        <v>https://my.zakupki.prom.ua/remote/dispatcher/state_purchase_view/34690441</v>
      </c>
      <c r="C369" s="1" t="s">
        <v>3866</v>
      </c>
      <c r="D369" s="1" t="s">
        <v>1220</v>
      </c>
      <c r="E369" s="4">
        <v>1</v>
      </c>
      <c r="F369" s="5">
        <v>2280474</v>
      </c>
      <c r="G369" s="1" t="s">
        <v>4976</v>
      </c>
      <c r="H369" s="1" t="s">
        <v>870</v>
      </c>
      <c r="I369" s="1" t="s">
        <v>2562</v>
      </c>
      <c r="J369" s="5">
        <v>2280474</v>
      </c>
      <c r="K369" s="1" t="s">
        <v>3394</v>
      </c>
      <c r="L369" s="5">
        <v>11402.37</v>
      </c>
      <c r="M369" s="1" t="s">
        <v>2308</v>
      </c>
      <c r="N369" s="1" t="s">
        <v>3983</v>
      </c>
      <c r="O369" s="1" t="s">
        <v>395</v>
      </c>
      <c r="P369" s="1" t="s">
        <v>2515</v>
      </c>
      <c r="Q369" s="1" t="s">
        <v>2808</v>
      </c>
      <c r="R369" s="1" t="s">
        <v>4649</v>
      </c>
      <c r="S369" s="1" t="s">
        <v>4971</v>
      </c>
      <c r="T369" s="6">
        <v>44593</v>
      </c>
      <c r="U369" s="6">
        <v>44593</v>
      </c>
      <c r="V369" s="7">
        <v>0.56397325150462962</v>
      </c>
      <c r="W369" s="6">
        <v>44609</v>
      </c>
      <c r="X369" s="7">
        <v>0</v>
      </c>
      <c r="Y369" s="8">
        <v>44609.658263888887</v>
      </c>
      <c r="Z369" s="5">
        <v>1700</v>
      </c>
      <c r="AA369" s="1" t="s">
        <v>3403</v>
      </c>
      <c r="AB369" s="1"/>
      <c r="AC369" s="1"/>
      <c r="AD369" s="1"/>
      <c r="AE369" s="1" t="s">
        <v>3692</v>
      </c>
      <c r="AF369" s="1" t="s">
        <v>9</v>
      </c>
      <c r="AG369" s="4">
        <v>54</v>
      </c>
      <c r="AH369" s="1"/>
      <c r="AI369" s="6">
        <v>44894</v>
      </c>
    </row>
    <row r="370" spans="1:35" x14ac:dyDescent="0.3">
      <c r="A370" s="1" t="s">
        <v>2143</v>
      </c>
      <c r="B370" s="2" t="str">
        <f>HYPERLINK("https://my.zakupki.prom.ua/remote/dispatcher/state_purchase_view/34690911")</f>
        <v>https://my.zakupki.prom.ua/remote/dispatcher/state_purchase_view/34690911</v>
      </c>
      <c r="C370" s="1" t="s">
        <v>3570</v>
      </c>
      <c r="D370" s="1" t="s">
        <v>1173</v>
      </c>
      <c r="E370" s="4">
        <v>2</v>
      </c>
      <c r="F370" s="5">
        <v>89125</v>
      </c>
      <c r="G370" s="1" t="s">
        <v>4940</v>
      </c>
      <c r="H370" s="1" t="s">
        <v>334</v>
      </c>
      <c r="I370" s="1" t="s">
        <v>3119</v>
      </c>
      <c r="J370" s="5">
        <v>178250</v>
      </c>
      <c r="K370" s="1" t="s">
        <v>3394</v>
      </c>
      <c r="L370" s="5">
        <v>1782.5</v>
      </c>
      <c r="M370" s="1" t="s">
        <v>2308</v>
      </c>
      <c r="N370" s="1" t="s">
        <v>3983</v>
      </c>
      <c r="O370" s="1" t="s">
        <v>2521</v>
      </c>
      <c r="P370" s="1" t="s">
        <v>2515</v>
      </c>
      <c r="Q370" s="1" t="s">
        <v>3325</v>
      </c>
      <c r="R370" s="1" t="s">
        <v>4505</v>
      </c>
      <c r="S370" s="1" t="s">
        <v>4971</v>
      </c>
      <c r="T370" s="6">
        <v>44593</v>
      </c>
      <c r="U370" s="6">
        <v>44593</v>
      </c>
      <c r="V370" s="7">
        <v>0.56380103731481479</v>
      </c>
      <c r="W370" s="6">
        <v>44610</v>
      </c>
      <c r="X370" s="7">
        <v>0.5</v>
      </c>
      <c r="Y370" s="8">
        <v>44613.48574074074</v>
      </c>
      <c r="Z370" s="5">
        <v>340</v>
      </c>
      <c r="AA370" s="1" t="s">
        <v>3403</v>
      </c>
      <c r="AB370" s="1"/>
      <c r="AC370" s="1"/>
      <c r="AD370" s="1"/>
      <c r="AE370" s="1" t="s">
        <v>3729</v>
      </c>
      <c r="AF370" s="1" t="s">
        <v>9</v>
      </c>
      <c r="AG370" s="4">
        <v>16</v>
      </c>
      <c r="AH370" s="6">
        <v>44620</v>
      </c>
      <c r="AI370" s="6">
        <v>44926</v>
      </c>
    </row>
    <row r="371" spans="1:35" x14ac:dyDescent="0.3">
      <c r="A371" s="1" t="s">
        <v>2142</v>
      </c>
      <c r="B371" s="2" t="str">
        <f>HYPERLINK("https://my.zakupki.prom.ua/remote/dispatcher/state_purchase_view/34690163")</f>
        <v>https://my.zakupki.prom.ua/remote/dispatcher/state_purchase_view/34690163</v>
      </c>
      <c r="C371" s="1" t="s">
        <v>2416</v>
      </c>
      <c r="D371" s="1" t="s">
        <v>1093</v>
      </c>
      <c r="E371" s="1" t="s">
        <v>4903</v>
      </c>
      <c r="F371" s="1" t="s">
        <v>4903</v>
      </c>
      <c r="G371" s="1" t="s">
        <v>4903</v>
      </c>
      <c r="H371" s="1" t="s">
        <v>254</v>
      </c>
      <c r="I371" s="1" t="s">
        <v>3350</v>
      </c>
      <c r="J371" s="5">
        <v>297500</v>
      </c>
      <c r="K371" s="1" t="s">
        <v>3394</v>
      </c>
      <c r="L371" s="5">
        <v>1487.5</v>
      </c>
      <c r="M371" s="1" t="s">
        <v>2308</v>
      </c>
      <c r="N371" s="1" t="s">
        <v>3403</v>
      </c>
      <c r="O371" s="1" t="s">
        <v>2521</v>
      </c>
      <c r="P371" s="1" t="s">
        <v>3956</v>
      </c>
      <c r="Q371" s="1" t="s">
        <v>4805</v>
      </c>
      <c r="R371" s="1" t="s">
        <v>4044</v>
      </c>
      <c r="S371" s="1" t="s">
        <v>4937</v>
      </c>
      <c r="T371" s="6">
        <v>44593</v>
      </c>
      <c r="U371" s="6">
        <v>44600</v>
      </c>
      <c r="V371" s="7">
        <v>0.375</v>
      </c>
      <c r="W371" s="6">
        <v>44608</v>
      </c>
      <c r="X371" s="7">
        <v>4.1666666666666664E-2</v>
      </c>
      <c r="Y371" s="1" t="s">
        <v>4860</v>
      </c>
      <c r="Z371" s="5">
        <v>510</v>
      </c>
      <c r="AA371" s="1" t="s">
        <v>3403</v>
      </c>
      <c r="AB371" s="1"/>
      <c r="AC371" s="1"/>
      <c r="AD371" s="1"/>
      <c r="AE371" s="1" t="s">
        <v>3769</v>
      </c>
      <c r="AF371" s="1" t="s">
        <v>9</v>
      </c>
      <c r="AG371" s="4">
        <v>16</v>
      </c>
      <c r="AH371" s="1"/>
      <c r="AI371" s="6">
        <v>44926</v>
      </c>
    </row>
    <row r="372" spans="1:35" x14ac:dyDescent="0.3">
      <c r="A372" s="1" t="s">
        <v>2141</v>
      </c>
      <c r="B372" s="2" t="str">
        <f>HYPERLINK("https://my.zakupki.prom.ua/remote/dispatcher/state_purchase_view/34666551")</f>
        <v>https://my.zakupki.prom.ua/remote/dispatcher/state_purchase_view/34666551</v>
      </c>
      <c r="C372" s="1" t="s">
        <v>494</v>
      </c>
      <c r="D372" s="1" t="s">
        <v>494</v>
      </c>
      <c r="E372" s="1" t="s">
        <v>4903</v>
      </c>
      <c r="F372" s="1" t="s">
        <v>4903</v>
      </c>
      <c r="G372" s="1" t="s">
        <v>4903</v>
      </c>
      <c r="H372" s="1" t="s">
        <v>77</v>
      </c>
      <c r="I372" s="1" t="s">
        <v>2591</v>
      </c>
      <c r="J372" s="5">
        <v>197100</v>
      </c>
      <c r="K372" s="1" t="s">
        <v>3394</v>
      </c>
      <c r="L372" s="5">
        <v>1971</v>
      </c>
      <c r="M372" s="1" t="s">
        <v>2308</v>
      </c>
      <c r="N372" s="1" t="s">
        <v>3983</v>
      </c>
      <c r="O372" s="1" t="s">
        <v>2521</v>
      </c>
      <c r="P372" s="1" t="s">
        <v>3956</v>
      </c>
      <c r="Q372" s="1" t="s">
        <v>2808</v>
      </c>
      <c r="R372" s="1" t="s">
        <v>4421</v>
      </c>
      <c r="S372" s="1" t="s">
        <v>4937</v>
      </c>
      <c r="T372" s="6">
        <v>44593</v>
      </c>
      <c r="U372" s="6">
        <v>44599</v>
      </c>
      <c r="V372" s="7">
        <v>0.75</v>
      </c>
      <c r="W372" s="6">
        <v>44607</v>
      </c>
      <c r="X372" s="7">
        <v>0.75</v>
      </c>
      <c r="Y372" s="1" t="s">
        <v>4860</v>
      </c>
      <c r="Z372" s="5">
        <v>340</v>
      </c>
      <c r="AA372" s="1" t="s">
        <v>3403</v>
      </c>
      <c r="AB372" s="1"/>
      <c r="AC372" s="1"/>
      <c r="AD372" s="1"/>
      <c r="AE372" s="1" t="s">
        <v>3768</v>
      </c>
      <c r="AF372" s="1" t="s">
        <v>9</v>
      </c>
      <c r="AG372" s="4">
        <v>2</v>
      </c>
      <c r="AH372" s="1"/>
      <c r="AI372" s="6">
        <v>44925</v>
      </c>
    </row>
    <row r="373" spans="1:35" x14ac:dyDescent="0.3">
      <c r="A373" s="1" t="s">
        <v>1726</v>
      </c>
      <c r="B373" s="2" t="str">
        <f>HYPERLINK("https://my.zakupki.prom.ua/remote/dispatcher/state_purchase_view/34690875")</f>
        <v>https://my.zakupki.prom.ua/remote/dispatcher/state_purchase_view/34690875</v>
      </c>
      <c r="C373" s="1" t="s">
        <v>1154</v>
      </c>
      <c r="D373" s="1" t="s">
        <v>1155</v>
      </c>
      <c r="E373" s="4">
        <v>1</v>
      </c>
      <c r="F373" s="5">
        <v>25000</v>
      </c>
      <c r="G373" s="1" t="s">
        <v>4940</v>
      </c>
      <c r="H373" s="1" t="s">
        <v>886</v>
      </c>
      <c r="I373" s="1" t="s">
        <v>2709</v>
      </c>
      <c r="J373" s="5">
        <v>25000</v>
      </c>
      <c r="K373" s="1" t="s">
        <v>3394</v>
      </c>
      <c r="L373" s="5">
        <v>130</v>
      </c>
      <c r="M373" s="1" t="s">
        <v>2308</v>
      </c>
      <c r="N373" s="1" t="s">
        <v>3983</v>
      </c>
      <c r="O373" s="1" t="s">
        <v>2521</v>
      </c>
      <c r="P373" s="1" t="s">
        <v>3956</v>
      </c>
      <c r="Q373" s="1" t="s">
        <v>2761</v>
      </c>
      <c r="R373" s="1" t="s">
        <v>4339</v>
      </c>
      <c r="S373" s="1" t="s">
        <v>4937</v>
      </c>
      <c r="T373" s="6">
        <v>44593</v>
      </c>
      <c r="U373" s="6">
        <v>44599</v>
      </c>
      <c r="V373" s="7">
        <v>0.70833333333333337</v>
      </c>
      <c r="W373" s="6">
        <v>44602</v>
      </c>
      <c r="X373" s="7">
        <v>0.70833333333333337</v>
      </c>
      <c r="Y373" s="1" t="s">
        <v>4860</v>
      </c>
      <c r="Z373" s="5">
        <v>119</v>
      </c>
      <c r="AA373" s="1" t="s">
        <v>3403</v>
      </c>
      <c r="AB373" s="1"/>
      <c r="AC373" s="1"/>
      <c r="AD373" s="1"/>
      <c r="AE373" s="1" t="s">
        <v>3750</v>
      </c>
      <c r="AF373" s="1" t="s">
        <v>9</v>
      </c>
      <c r="AG373" s="4">
        <v>24</v>
      </c>
      <c r="AH373" s="1"/>
      <c r="AI373" s="6">
        <v>44622</v>
      </c>
    </row>
    <row r="374" spans="1:35" x14ac:dyDescent="0.3">
      <c r="A374" s="1" t="s">
        <v>1438</v>
      </c>
      <c r="B374" s="2" t="str">
        <f>HYPERLINK("https://my.zakupki.prom.ua/remote/dispatcher/state_purchase_view/34690870")</f>
        <v>https://my.zakupki.prom.ua/remote/dispatcher/state_purchase_view/34690870</v>
      </c>
      <c r="C374" s="1" t="s">
        <v>473</v>
      </c>
      <c r="D374" s="1" t="s">
        <v>474</v>
      </c>
      <c r="E374" s="4">
        <v>600</v>
      </c>
      <c r="F374" s="5">
        <v>180</v>
      </c>
      <c r="G374" s="1" t="s">
        <v>4883</v>
      </c>
      <c r="H374" s="1" t="s">
        <v>299</v>
      </c>
      <c r="I374" s="1" t="s">
        <v>2459</v>
      </c>
      <c r="J374" s="5">
        <v>108000</v>
      </c>
      <c r="K374" s="1" t="s">
        <v>3394</v>
      </c>
      <c r="L374" s="5">
        <v>540</v>
      </c>
      <c r="M374" s="1" t="s">
        <v>2308</v>
      </c>
      <c r="N374" s="1" t="s">
        <v>3983</v>
      </c>
      <c r="O374" s="1" t="s">
        <v>2521</v>
      </c>
      <c r="P374" s="1" t="s">
        <v>3956</v>
      </c>
      <c r="Q374" s="1" t="s">
        <v>3504</v>
      </c>
      <c r="R374" s="1" t="s">
        <v>4525</v>
      </c>
      <c r="S374" s="1" t="s">
        <v>4937</v>
      </c>
      <c r="T374" s="6">
        <v>44593</v>
      </c>
      <c r="U374" s="6">
        <v>44599</v>
      </c>
      <c r="V374" s="7">
        <v>0.55907407407407406</v>
      </c>
      <c r="W374" s="6">
        <v>44602</v>
      </c>
      <c r="X374" s="7">
        <v>0.55907407407407406</v>
      </c>
      <c r="Y374" s="1" t="s">
        <v>4860</v>
      </c>
      <c r="Z374" s="5">
        <v>340</v>
      </c>
      <c r="AA374" s="1" t="s">
        <v>3403</v>
      </c>
      <c r="AB374" s="1"/>
      <c r="AC374" s="1"/>
      <c r="AD374" s="1"/>
      <c r="AE374" s="1" t="s">
        <v>3803</v>
      </c>
      <c r="AF374" s="1" t="s">
        <v>9</v>
      </c>
      <c r="AG374" s="1" t="s">
        <v>9</v>
      </c>
      <c r="AH374" s="1"/>
      <c r="AI374" s="6">
        <v>44926</v>
      </c>
    </row>
    <row r="375" spans="1:35" x14ac:dyDescent="0.3">
      <c r="A375" s="1" t="s">
        <v>2137</v>
      </c>
      <c r="B375" s="2" t="str">
        <f>HYPERLINK("https://my.zakupki.prom.ua/remote/dispatcher/state_purchase_view/34690845")</f>
        <v>https://my.zakupki.prom.ua/remote/dispatcher/state_purchase_view/34690845</v>
      </c>
      <c r="C375" s="1" t="s">
        <v>2376</v>
      </c>
      <c r="D375" s="1" t="s">
        <v>518</v>
      </c>
      <c r="E375" s="1" t="s">
        <v>4903</v>
      </c>
      <c r="F375" s="1" t="s">
        <v>4903</v>
      </c>
      <c r="G375" s="1" t="s">
        <v>4903</v>
      </c>
      <c r="H375" s="1" t="s">
        <v>556</v>
      </c>
      <c r="I375" s="1" t="s">
        <v>2896</v>
      </c>
      <c r="J375" s="5">
        <v>519900</v>
      </c>
      <c r="K375" s="1" t="s">
        <v>3394</v>
      </c>
      <c r="L375" s="5">
        <v>2599.5</v>
      </c>
      <c r="M375" s="1" t="s">
        <v>2308</v>
      </c>
      <c r="N375" s="1" t="s">
        <v>3983</v>
      </c>
      <c r="O375" s="1" t="s">
        <v>2521</v>
      </c>
      <c r="P375" s="1" t="s">
        <v>2515</v>
      </c>
      <c r="Q375" s="1" t="s">
        <v>3878</v>
      </c>
      <c r="R375" s="1" t="s">
        <v>4330</v>
      </c>
      <c r="S375" s="1" t="s">
        <v>4971</v>
      </c>
      <c r="T375" s="6">
        <v>44593</v>
      </c>
      <c r="U375" s="6">
        <v>44593</v>
      </c>
      <c r="V375" s="7">
        <v>0.56199063309027775</v>
      </c>
      <c r="W375" s="6">
        <v>44609</v>
      </c>
      <c r="X375" s="7">
        <v>0</v>
      </c>
      <c r="Y375" s="8">
        <v>44609.628587962965</v>
      </c>
      <c r="Z375" s="5">
        <v>510</v>
      </c>
      <c r="AA375" s="1" t="s">
        <v>3403</v>
      </c>
      <c r="AB375" s="1"/>
      <c r="AC375" s="1"/>
      <c r="AD375" s="1"/>
      <c r="AE375" s="1" t="s">
        <v>3788</v>
      </c>
      <c r="AF375" s="1" t="s">
        <v>9</v>
      </c>
      <c r="AG375" s="4">
        <v>4</v>
      </c>
      <c r="AH375" s="1"/>
      <c r="AI375" s="6">
        <v>44926</v>
      </c>
    </row>
    <row r="376" spans="1:35" x14ac:dyDescent="0.3">
      <c r="A376" s="1" t="s">
        <v>2121</v>
      </c>
      <c r="B376" s="2" t="str">
        <f>HYPERLINK("https://my.zakupki.prom.ua/remote/dispatcher/state_purchase_view/34690840")</f>
        <v>https://my.zakupki.prom.ua/remote/dispatcher/state_purchase_view/34690840</v>
      </c>
      <c r="C376" s="1" t="s">
        <v>4876</v>
      </c>
      <c r="D376" s="1" t="s">
        <v>387</v>
      </c>
      <c r="E376" s="4">
        <v>160990</v>
      </c>
      <c r="F376" s="5">
        <v>4.5</v>
      </c>
      <c r="G376" s="1" t="s">
        <v>4879</v>
      </c>
      <c r="H376" s="1" t="s">
        <v>840</v>
      </c>
      <c r="I376" s="1" t="s">
        <v>2835</v>
      </c>
      <c r="J376" s="5">
        <v>724455</v>
      </c>
      <c r="K376" s="1" t="s">
        <v>3394</v>
      </c>
      <c r="L376" s="5">
        <v>7244.55</v>
      </c>
      <c r="M376" s="1" t="s">
        <v>2308</v>
      </c>
      <c r="N376" s="1" t="s">
        <v>3983</v>
      </c>
      <c r="O376" s="1" t="s">
        <v>2521</v>
      </c>
      <c r="P376" s="1" t="s">
        <v>2515</v>
      </c>
      <c r="Q376" s="1" t="s">
        <v>2820</v>
      </c>
      <c r="R376" s="1" t="s">
        <v>4635</v>
      </c>
      <c r="S376" s="1" t="s">
        <v>4971</v>
      </c>
      <c r="T376" s="6">
        <v>44593</v>
      </c>
      <c r="U376" s="6">
        <v>44593</v>
      </c>
      <c r="V376" s="7">
        <v>0.55734602553240742</v>
      </c>
      <c r="W376" s="6">
        <v>44609</v>
      </c>
      <c r="X376" s="7">
        <v>0.56079861111111107</v>
      </c>
      <c r="Y376" s="8">
        <v>44610.49900462963</v>
      </c>
      <c r="Z376" s="5">
        <v>510</v>
      </c>
      <c r="AA376" s="1" t="s">
        <v>3403</v>
      </c>
      <c r="AB376" s="1"/>
      <c r="AC376" s="1"/>
      <c r="AD376" s="1"/>
      <c r="AE376" s="1" t="s">
        <v>3768</v>
      </c>
      <c r="AF376" s="1" t="s">
        <v>9</v>
      </c>
      <c r="AG376" s="1" t="s">
        <v>9</v>
      </c>
      <c r="AH376" s="1"/>
      <c r="AI376" s="6">
        <v>44926</v>
      </c>
    </row>
    <row r="377" spans="1:35" x14ac:dyDescent="0.3">
      <c r="A377" s="1" t="s">
        <v>1717</v>
      </c>
      <c r="B377" s="2" t="str">
        <f>HYPERLINK("https://my.zakupki.prom.ua/remote/dispatcher/state_purchase_view/34690803")</f>
        <v>https://my.zakupki.prom.ua/remote/dispatcher/state_purchase_view/34690803</v>
      </c>
      <c r="C377" s="1" t="s">
        <v>4845</v>
      </c>
      <c r="D377" s="1" t="s">
        <v>174</v>
      </c>
      <c r="E377" s="4">
        <v>37879</v>
      </c>
      <c r="F377" s="5">
        <v>4.2</v>
      </c>
      <c r="G377" s="1" t="s">
        <v>4989</v>
      </c>
      <c r="H377" s="1" t="s">
        <v>203</v>
      </c>
      <c r="I377" s="1" t="s">
        <v>3003</v>
      </c>
      <c r="J377" s="5">
        <v>159094.1</v>
      </c>
      <c r="K377" s="1" t="s">
        <v>3394</v>
      </c>
      <c r="L377" s="5">
        <v>1590.94</v>
      </c>
      <c r="M377" s="1" t="s">
        <v>2308</v>
      </c>
      <c r="N377" s="1" t="s">
        <v>3983</v>
      </c>
      <c r="O377" s="1" t="s">
        <v>2521</v>
      </c>
      <c r="P377" s="1" t="s">
        <v>3956</v>
      </c>
      <c r="Q377" s="1" t="s">
        <v>2761</v>
      </c>
      <c r="R377" s="1" t="s">
        <v>4529</v>
      </c>
      <c r="S377" s="1" t="s">
        <v>4937</v>
      </c>
      <c r="T377" s="6">
        <v>44593</v>
      </c>
      <c r="U377" s="6">
        <v>44599</v>
      </c>
      <c r="V377" s="7">
        <v>4.1666666666666664E-2</v>
      </c>
      <c r="W377" s="6">
        <v>44602</v>
      </c>
      <c r="X377" s="7">
        <v>4.1666666666666664E-2</v>
      </c>
      <c r="Y377" s="1" t="s">
        <v>4860</v>
      </c>
      <c r="Z377" s="5">
        <v>340</v>
      </c>
      <c r="AA377" s="1" t="s">
        <v>3403</v>
      </c>
      <c r="AB377" s="1"/>
      <c r="AC377" s="1"/>
      <c r="AD377" s="1"/>
      <c r="AE377" s="1" t="s">
        <v>3788</v>
      </c>
      <c r="AF377" s="1" t="s">
        <v>9</v>
      </c>
      <c r="AG377" s="4">
        <v>24</v>
      </c>
      <c r="AH377" s="1"/>
      <c r="AI377" s="6">
        <v>44926</v>
      </c>
    </row>
    <row r="378" spans="1:35" x14ac:dyDescent="0.3">
      <c r="A378" s="1" t="s">
        <v>1432</v>
      </c>
      <c r="B378" s="2" t="str">
        <f>HYPERLINK("https://my.zakupki.prom.ua/remote/dispatcher/state_purchase_view/34690800")</f>
        <v>https://my.zakupki.prom.ua/remote/dispatcher/state_purchase_view/34690800</v>
      </c>
      <c r="C378" s="1" t="s">
        <v>2494</v>
      </c>
      <c r="D378" s="1" t="s">
        <v>571</v>
      </c>
      <c r="E378" s="4">
        <v>66000</v>
      </c>
      <c r="F378" s="5">
        <v>6.97</v>
      </c>
      <c r="G378" s="1" t="s">
        <v>4989</v>
      </c>
      <c r="H378" s="1" t="s">
        <v>296</v>
      </c>
      <c r="I378" s="1" t="s">
        <v>3930</v>
      </c>
      <c r="J378" s="5">
        <v>460000</v>
      </c>
      <c r="K378" s="1" t="s">
        <v>3394</v>
      </c>
      <c r="L378" s="5">
        <v>2300</v>
      </c>
      <c r="M378" s="1" t="s">
        <v>2308</v>
      </c>
      <c r="N378" s="1" t="s">
        <v>3983</v>
      </c>
      <c r="O378" s="1" t="s">
        <v>2521</v>
      </c>
      <c r="P378" s="1" t="s">
        <v>2515</v>
      </c>
      <c r="Q378" s="1" t="s">
        <v>3264</v>
      </c>
      <c r="R378" s="1" t="s">
        <v>4249</v>
      </c>
      <c r="S378" s="1" t="s">
        <v>4971</v>
      </c>
      <c r="T378" s="6">
        <v>44593</v>
      </c>
      <c r="U378" s="6">
        <v>44593</v>
      </c>
      <c r="V378" s="7">
        <v>0.55223218030092591</v>
      </c>
      <c r="W378" s="6">
        <v>44609</v>
      </c>
      <c r="X378" s="7">
        <v>0.99930555555555556</v>
      </c>
      <c r="Y378" s="8">
        <v>44610.509039351855</v>
      </c>
      <c r="Z378" s="5">
        <v>510</v>
      </c>
      <c r="AA378" s="1" t="s">
        <v>3403</v>
      </c>
      <c r="AB378" s="1"/>
      <c r="AC378" s="1"/>
      <c r="AD378" s="1"/>
      <c r="AE378" s="1" t="s">
        <v>3797</v>
      </c>
      <c r="AF378" s="1" t="s">
        <v>9</v>
      </c>
      <c r="AG378" s="4">
        <v>10</v>
      </c>
      <c r="AH378" s="1"/>
      <c r="AI378" s="6">
        <v>44926</v>
      </c>
    </row>
    <row r="379" spans="1:35" x14ac:dyDescent="0.3">
      <c r="A379" s="1" t="s">
        <v>1734</v>
      </c>
      <c r="B379" s="2" t="str">
        <f>HYPERLINK("https://my.zakupki.prom.ua/remote/dispatcher/state_purchase_view/34690789")</f>
        <v>https://my.zakupki.prom.ua/remote/dispatcher/state_purchase_view/34690789</v>
      </c>
      <c r="C379" s="1" t="s">
        <v>3578</v>
      </c>
      <c r="D379" s="1" t="s">
        <v>1221</v>
      </c>
      <c r="E379" s="4">
        <v>1</v>
      </c>
      <c r="F379" s="5">
        <v>25000</v>
      </c>
      <c r="G379" s="1" t="s">
        <v>4940</v>
      </c>
      <c r="H379" s="1" t="s">
        <v>910</v>
      </c>
      <c r="I379" s="1" t="s">
        <v>2914</v>
      </c>
      <c r="J379" s="5">
        <v>25000</v>
      </c>
      <c r="K379" s="1" t="s">
        <v>3394</v>
      </c>
      <c r="L379" s="5">
        <v>125</v>
      </c>
      <c r="M379" s="1" t="s">
        <v>2308</v>
      </c>
      <c r="N379" s="1" t="s">
        <v>3983</v>
      </c>
      <c r="O379" s="1" t="s">
        <v>2521</v>
      </c>
      <c r="P379" s="1" t="s">
        <v>2762</v>
      </c>
      <c r="Q379" s="1" t="s">
        <v>2761</v>
      </c>
      <c r="R379" s="1" t="s">
        <v>4473</v>
      </c>
      <c r="S379" s="1" t="s">
        <v>4937</v>
      </c>
      <c r="T379" s="6">
        <v>44593</v>
      </c>
      <c r="U379" s="6">
        <v>44599</v>
      </c>
      <c r="V379" s="7">
        <v>0.46527777777777779</v>
      </c>
      <c r="W379" s="6">
        <v>44602</v>
      </c>
      <c r="X379" s="7">
        <v>0.45833333333333331</v>
      </c>
      <c r="Y379" s="1" t="s">
        <v>4860</v>
      </c>
      <c r="Z379" s="5">
        <v>119</v>
      </c>
      <c r="AA379" s="1" t="s">
        <v>3403</v>
      </c>
      <c r="AB379" s="1"/>
      <c r="AC379" s="1"/>
      <c r="AD379" s="1"/>
      <c r="AE379" s="1" t="s">
        <v>3750</v>
      </c>
      <c r="AF379" s="1" t="s">
        <v>9</v>
      </c>
      <c r="AG379" s="4">
        <v>1</v>
      </c>
      <c r="AH379" s="1"/>
      <c r="AI379" s="6">
        <v>44715</v>
      </c>
    </row>
    <row r="380" spans="1:35" x14ac:dyDescent="0.3">
      <c r="A380" s="1" t="s">
        <v>1705</v>
      </c>
      <c r="B380" s="2" t="str">
        <f>HYPERLINK("https://my.zakupki.prom.ua/remote/dispatcher/state_purchase_view/34690736")</f>
        <v>https://my.zakupki.prom.ua/remote/dispatcher/state_purchase_view/34690736</v>
      </c>
      <c r="C380" s="1" t="s">
        <v>4004</v>
      </c>
      <c r="D380" s="1" t="s">
        <v>1137</v>
      </c>
      <c r="E380" s="4">
        <v>1</v>
      </c>
      <c r="F380" s="5">
        <v>5674355</v>
      </c>
      <c r="G380" s="1" t="s">
        <v>4896</v>
      </c>
      <c r="H380" s="1" t="s">
        <v>21</v>
      </c>
      <c r="I380" s="1" t="s">
        <v>3467</v>
      </c>
      <c r="J380" s="5">
        <v>5674355</v>
      </c>
      <c r="K380" s="1" t="s">
        <v>3394</v>
      </c>
      <c r="L380" s="5">
        <v>56743.55</v>
      </c>
      <c r="M380" s="1" t="s">
        <v>2308</v>
      </c>
      <c r="N380" s="1" t="s">
        <v>3983</v>
      </c>
      <c r="O380" s="1" t="s">
        <v>688</v>
      </c>
      <c r="P380" s="1" t="s">
        <v>2515</v>
      </c>
      <c r="Q380" s="1" t="s">
        <v>3264</v>
      </c>
      <c r="R380" s="1" t="s">
        <v>4081</v>
      </c>
      <c r="S380" s="1" t="s">
        <v>4971</v>
      </c>
      <c r="T380" s="6">
        <v>44593</v>
      </c>
      <c r="U380" s="6">
        <v>44593</v>
      </c>
      <c r="V380" s="7">
        <v>0.55282237199074069</v>
      </c>
      <c r="W380" s="6">
        <v>44609</v>
      </c>
      <c r="X380" s="7">
        <v>0.41666666666666669</v>
      </c>
      <c r="Y380" s="8">
        <v>44610.655405092592</v>
      </c>
      <c r="Z380" s="5">
        <v>3400</v>
      </c>
      <c r="AA380" s="1" t="s">
        <v>3403</v>
      </c>
      <c r="AB380" s="1"/>
      <c r="AC380" s="1"/>
      <c r="AD380" s="1"/>
      <c r="AE380" s="1" t="s">
        <v>3720</v>
      </c>
      <c r="AF380" s="1" t="s">
        <v>9</v>
      </c>
      <c r="AG380" s="4">
        <v>40</v>
      </c>
      <c r="AH380" s="1"/>
      <c r="AI380" s="6">
        <v>44926</v>
      </c>
    </row>
    <row r="381" spans="1:35" x14ac:dyDescent="0.3">
      <c r="A381" s="1" t="s">
        <v>1731</v>
      </c>
      <c r="B381" s="2" t="str">
        <f>HYPERLINK("https://my.zakupki.prom.ua/remote/dispatcher/state_purchase_view/34690729")</f>
        <v>https://my.zakupki.prom.ua/remote/dispatcher/state_purchase_view/34690729</v>
      </c>
      <c r="C381" s="1" t="s">
        <v>3342</v>
      </c>
      <c r="D381" s="1" t="s">
        <v>480</v>
      </c>
      <c r="E381" s="1" t="s">
        <v>4903</v>
      </c>
      <c r="F381" s="1" t="s">
        <v>4903</v>
      </c>
      <c r="G381" s="1" t="s">
        <v>4903</v>
      </c>
      <c r="H381" s="1" t="s">
        <v>950</v>
      </c>
      <c r="I381" s="1" t="s">
        <v>2954</v>
      </c>
      <c r="J381" s="5">
        <v>54500</v>
      </c>
      <c r="K381" s="1" t="s">
        <v>3394</v>
      </c>
      <c r="L381" s="5">
        <v>545</v>
      </c>
      <c r="M381" s="1" t="s">
        <v>2308</v>
      </c>
      <c r="N381" s="1" t="s">
        <v>3983</v>
      </c>
      <c r="O381" s="1" t="s">
        <v>2521</v>
      </c>
      <c r="P381" s="1" t="s">
        <v>3956</v>
      </c>
      <c r="Q381" s="1" t="s">
        <v>3035</v>
      </c>
      <c r="R381" s="1" t="s">
        <v>4081</v>
      </c>
      <c r="S381" s="1" t="s">
        <v>4937</v>
      </c>
      <c r="T381" s="6">
        <v>44593</v>
      </c>
      <c r="U381" s="6">
        <v>44599</v>
      </c>
      <c r="V381" s="7">
        <v>0.375</v>
      </c>
      <c r="W381" s="6">
        <v>44602</v>
      </c>
      <c r="X381" s="7">
        <v>0</v>
      </c>
      <c r="Y381" s="1" t="s">
        <v>4860</v>
      </c>
      <c r="Z381" s="5">
        <v>340</v>
      </c>
      <c r="AA381" s="1" t="s">
        <v>3403</v>
      </c>
      <c r="AB381" s="1"/>
      <c r="AC381" s="1"/>
      <c r="AD381" s="1"/>
      <c r="AE381" s="1" t="s">
        <v>3773</v>
      </c>
      <c r="AF381" s="1" t="s">
        <v>9</v>
      </c>
      <c r="AG381" s="1" t="s">
        <v>9</v>
      </c>
      <c r="AH381" s="6">
        <v>44613</v>
      </c>
      <c r="AI381" s="6">
        <v>44926</v>
      </c>
    </row>
    <row r="382" spans="1:35" x14ac:dyDescent="0.3">
      <c r="A382" s="1" t="s">
        <v>2132</v>
      </c>
      <c r="B382" s="2" t="str">
        <f>HYPERLINK("https://my.zakupki.prom.ua/remote/dispatcher/state_purchase_view/34690710")</f>
        <v>https://my.zakupki.prom.ua/remote/dispatcher/state_purchase_view/34690710</v>
      </c>
      <c r="C382" s="1" t="s">
        <v>3484</v>
      </c>
      <c r="D382" s="1" t="s">
        <v>694</v>
      </c>
      <c r="E382" s="4">
        <v>200</v>
      </c>
      <c r="F382" s="5">
        <v>180</v>
      </c>
      <c r="G382" s="1" t="s">
        <v>4934</v>
      </c>
      <c r="H382" s="1" t="s">
        <v>294</v>
      </c>
      <c r="I382" s="1" t="s">
        <v>3456</v>
      </c>
      <c r="J382" s="5">
        <v>36000</v>
      </c>
      <c r="K382" s="1" t="s">
        <v>3394</v>
      </c>
      <c r="L382" s="5">
        <v>180</v>
      </c>
      <c r="M382" s="1" t="s">
        <v>2308</v>
      </c>
      <c r="N382" s="1" t="s">
        <v>3983</v>
      </c>
      <c r="O382" s="1" t="s">
        <v>2521</v>
      </c>
      <c r="P382" s="1" t="s">
        <v>3956</v>
      </c>
      <c r="Q382" s="1" t="s">
        <v>2334</v>
      </c>
      <c r="R382" s="1" t="s">
        <v>4171</v>
      </c>
      <c r="S382" s="1" t="s">
        <v>4937</v>
      </c>
      <c r="T382" s="6">
        <v>44593</v>
      </c>
      <c r="U382" s="6">
        <v>44597</v>
      </c>
      <c r="V382" s="7">
        <v>0</v>
      </c>
      <c r="W382" s="6">
        <v>44601</v>
      </c>
      <c r="X382" s="7">
        <v>0</v>
      </c>
      <c r="Y382" s="1" t="s">
        <v>4860</v>
      </c>
      <c r="Z382" s="5">
        <v>119</v>
      </c>
      <c r="AA382" s="1" t="s">
        <v>3403</v>
      </c>
      <c r="AB382" s="1"/>
      <c r="AC382" s="1"/>
      <c r="AD382" s="1"/>
      <c r="AE382" s="1" t="s">
        <v>3765</v>
      </c>
      <c r="AF382" s="1" t="s">
        <v>9</v>
      </c>
      <c r="AG382" s="4">
        <v>4</v>
      </c>
      <c r="AH382" s="1"/>
      <c r="AI382" s="6">
        <v>44926</v>
      </c>
    </row>
    <row r="383" spans="1:35" x14ac:dyDescent="0.3">
      <c r="A383" s="1" t="s">
        <v>2126</v>
      </c>
      <c r="B383" s="2" t="str">
        <f>HYPERLINK("https://my.zakupki.prom.ua/remote/dispatcher/state_purchase_view/34690689")</f>
        <v>https://my.zakupki.prom.ua/remote/dispatcher/state_purchase_view/34690689</v>
      </c>
      <c r="C383" s="1" t="s">
        <v>3609</v>
      </c>
      <c r="D383" s="1" t="s">
        <v>1282</v>
      </c>
      <c r="E383" s="4">
        <v>1</v>
      </c>
      <c r="F383" s="5">
        <v>4140</v>
      </c>
      <c r="G383" s="1" t="s">
        <v>4940</v>
      </c>
      <c r="H383" s="1" t="s">
        <v>1078</v>
      </c>
      <c r="I383" s="1" t="s">
        <v>2542</v>
      </c>
      <c r="J383" s="5">
        <v>4140</v>
      </c>
      <c r="K383" s="1" t="s">
        <v>3394</v>
      </c>
      <c r="L383" s="5">
        <v>20.7</v>
      </c>
      <c r="M383" s="1" t="s">
        <v>2308</v>
      </c>
      <c r="N383" s="1" t="s">
        <v>3983</v>
      </c>
      <c r="O383" s="1" t="s">
        <v>2521</v>
      </c>
      <c r="P383" s="1" t="s">
        <v>2515</v>
      </c>
      <c r="Q383" s="1" t="s">
        <v>3264</v>
      </c>
      <c r="R383" s="1" t="s">
        <v>4638</v>
      </c>
      <c r="S383" s="1" t="s">
        <v>4971</v>
      </c>
      <c r="T383" s="6">
        <v>44593</v>
      </c>
      <c r="U383" s="6">
        <v>44593</v>
      </c>
      <c r="V383" s="7">
        <v>0.55918807627314815</v>
      </c>
      <c r="W383" s="6">
        <v>44609</v>
      </c>
      <c r="X383" s="7">
        <v>0.41666666666666669</v>
      </c>
      <c r="Y383" s="8">
        <v>44610.525949074072</v>
      </c>
      <c r="Z383" s="5">
        <v>17</v>
      </c>
      <c r="AA383" s="1" t="s">
        <v>3403</v>
      </c>
      <c r="AB383" s="1"/>
      <c r="AC383" s="1"/>
      <c r="AD383" s="1"/>
      <c r="AE383" s="1" t="s">
        <v>3743</v>
      </c>
      <c r="AF383" s="1" t="s">
        <v>9</v>
      </c>
      <c r="AG383" s="4">
        <v>4</v>
      </c>
      <c r="AH383" s="1"/>
      <c r="AI383" s="6">
        <v>44926</v>
      </c>
    </row>
    <row r="384" spans="1:35" x14ac:dyDescent="0.3">
      <c r="A384" s="1" t="s">
        <v>1442</v>
      </c>
      <c r="B384" s="2" t="str">
        <f>HYPERLINK("https://my.zakupki.prom.ua/remote/dispatcher/state_purchase_view/34690684")</f>
        <v>https://my.zakupki.prom.ua/remote/dispatcher/state_purchase_view/34690684</v>
      </c>
      <c r="C384" s="1" t="s">
        <v>3636</v>
      </c>
      <c r="D384" s="1" t="s">
        <v>1227</v>
      </c>
      <c r="E384" s="4">
        <v>1</v>
      </c>
      <c r="F384" s="5">
        <v>2200</v>
      </c>
      <c r="G384" s="1" t="s">
        <v>4940</v>
      </c>
      <c r="H384" s="1" t="s">
        <v>1080</v>
      </c>
      <c r="I384" s="1" t="s">
        <v>3969</v>
      </c>
      <c r="J384" s="5">
        <v>2200</v>
      </c>
      <c r="K384" s="1" t="s">
        <v>3394</v>
      </c>
      <c r="L384" s="5">
        <v>11</v>
      </c>
      <c r="M384" s="1" t="s">
        <v>2308</v>
      </c>
      <c r="N384" s="1" t="s">
        <v>3983</v>
      </c>
      <c r="O384" s="1" t="s">
        <v>2521</v>
      </c>
      <c r="P384" s="1" t="s">
        <v>2515</v>
      </c>
      <c r="Q384" s="1" t="s">
        <v>3970</v>
      </c>
      <c r="R384" s="1" t="s">
        <v>4463</v>
      </c>
      <c r="S384" s="1" t="s">
        <v>4971</v>
      </c>
      <c r="T384" s="6">
        <v>44593</v>
      </c>
      <c r="U384" s="6">
        <v>44593</v>
      </c>
      <c r="V384" s="7">
        <v>0.55771015902777776</v>
      </c>
      <c r="W384" s="6">
        <v>44609</v>
      </c>
      <c r="X384" s="7">
        <v>0.33333333333333331</v>
      </c>
      <c r="Y384" s="8">
        <v>44610.477256944447</v>
      </c>
      <c r="Z384" s="5">
        <v>17</v>
      </c>
      <c r="AA384" s="1" t="s">
        <v>3403</v>
      </c>
      <c r="AB384" s="1"/>
      <c r="AC384" s="1"/>
      <c r="AD384" s="1"/>
      <c r="AE384" s="1" t="s">
        <v>3728</v>
      </c>
      <c r="AF384" s="1" t="s">
        <v>9</v>
      </c>
      <c r="AG384" s="1" t="s">
        <v>9</v>
      </c>
      <c r="AH384" s="1"/>
      <c r="AI384" s="6">
        <v>44926</v>
      </c>
    </row>
    <row r="385" spans="1:35" x14ac:dyDescent="0.3">
      <c r="A385" s="1" t="s">
        <v>1727</v>
      </c>
      <c r="B385" s="2" t="str">
        <f>HYPERLINK("https://my.zakupki.prom.ua/remote/dispatcher/state_purchase_view/34690650")</f>
        <v>https://my.zakupki.prom.ua/remote/dispatcher/state_purchase_view/34690650</v>
      </c>
      <c r="C385" s="1" t="s">
        <v>3968</v>
      </c>
      <c r="D385" s="1" t="s">
        <v>958</v>
      </c>
      <c r="E385" s="4">
        <v>6</v>
      </c>
      <c r="F385" s="5">
        <v>3850</v>
      </c>
      <c r="G385" s="1" t="s">
        <v>4989</v>
      </c>
      <c r="H385" s="1" t="s">
        <v>161</v>
      </c>
      <c r="I385" s="1" t="s">
        <v>3436</v>
      </c>
      <c r="J385" s="5">
        <v>23100</v>
      </c>
      <c r="K385" s="1" t="s">
        <v>3394</v>
      </c>
      <c r="L385" s="5">
        <v>115.5</v>
      </c>
      <c r="M385" s="1" t="s">
        <v>2308</v>
      </c>
      <c r="N385" s="1" t="s">
        <v>3983</v>
      </c>
      <c r="O385" s="1" t="s">
        <v>2521</v>
      </c>
      <c r="P385" s="1" t="s">
        <v>2762</v>
      </c>
      <c r="Q385" s="1" t="s">
        <v>2756</v>
      </c>
      <c r="R385" s="1"/>
      <c r="S385" s="1" t="s">
        <v>4937</v>
      </c>
      <c r="T385" s="6">
        <v>44593</v>
      </c>
      <c r="U385" s="6">
        <v>44599</v>
      </c>
      <c r="V385" s="7">
        <v>0.66666666666666663</v>
      </c>
      <c r="W385" s="6">
        <v>44603</v>
      </c>
      <c r="X385" s="7">
        <v>0.75</v>
      </c>
      <c r="Y385" s="1" t="s">
        <v>4860</v>
      </c>
      <c r="Z385" s="5">
        <v>119</v>
      </c>
      <c r="AA385" s="1" t="s">
        <v>3403</v>
      </c>
      <c r="AB385" s="1"/>
      <c r="AC385" s="1"/>
      <c r="AD385" s="1"/>
      <c r="AE385" s="1" t="s">
        <v>3765</v>
      </c>
      <c r="AF385" s="1" t="s">
        <v>9</v>
      </c>
      <c r="AG385" s="4">
        <v>1</v>
      </c>
      <c r="AH385" s="1"/>
      <c r="AI385" s="6">
        <v>44681</v>
      </c>
    </row>
    <row r="386" spans="1:35" x14ac:dyDescent="0.3">
      <c r="A386" s="1" t="s">
        <v>2109</v>
      </c>
      <c r="B386" s="2" t="str">
        <f>HYPERLINK("https://my.zakupki.prom.ua/remote/dispatcher/state_purchase_view/34690551")</f>
        <v>https://my.zakupki.prom.ua/remote/dispatcher/state_purchase_view/34690551</v>
      </c>
      <c r="C386" s="1" t="s">
        <v>2622</v>
      </c>
      <c r="D386" s="1" t="s">
        <v>811</v>
      </c>
      <c r="E386" s="1" t="s">
        <v>4903</v>
      </c>
      <c r="F386" s="1" t="s">
        <v>4903</v>
      </c>
      <c r="G386" s="1" t="s">
        <v>4903</v>
      </c>
      <c r="H386" s="1" t="s">
        <v>991</v>
      </c>
      <c r="I386" s="1" t="s">
        <v>3160</v>
      </c>
      <c r="J386" s="5">
        <v>240717</v>
      </c>
      <c r="K386" s="1" t="s">
        <v>3394</v>
      </c>
      <c r="L386" s="5">
        <v>1203.5899999999999</v>
      </c>
      <c r="M386" s="1" t="s">
        <v>2308</v>
      </c>
      <c r="N386" s="1" t="s">
        <v>3983</v>
      </c>
      <c r="O386" s="1" t="s">
        <v>2521</v>
      </c>
      <c r="P386" s="1" t="s">
        <v>2515</v>
      </c>
      <c r="Q386" s="1" t="s">
        <v>3970</v>
      </c>
      <c r="R386" s="1" t="s">
        <v>4413</v>
      </c>
      <c r="S386" s="1" t="s">
        <v>4971</v>
      </c>
      <c r="T386" s="6">
        <v>44593</v>
      </c>
      <c r="U386" s="6">
        <v>44593</v>
      </c>
      <c r="V386" s="7">
        <v>0.55152820017361115</v>
      </c>
      <c r="W386" s="6">
        <v>44609</v>
      </c>
      <c r="X386" s="7">
        <v>0.5549884259259259</v>
      </c>
      <c r="Y386" s="8">
        <v>44610.64402777778</v>
      </c>
      <c r="Z386" s="5">
        <v>510</v>
      </c>
      <c r="AA386" s="1" t="s">
        <v>3403</v>
      </c>
      <c r="AB386" s="1"/>
      <c r="AC386" s="1"/>
      <c r="AD386" s="1"/>
      <c r="AE386" s="1" t="s">
        <v>3787</v>
      </c>
      <c r="AF386" s="1" t="s">
        <v>9</v>
      </c>
      <c r="AG386" s="1" t="s">
        <v>9</v>
      </c>
      <c r="AH386" s="1"/>
      <c r="AI386" s="6">
        <v>44926</v>
      </c>
    </row>
    <row r="387" spans="1:35" x14ac:dyDescent="0.3">
      <c r="A387" s="1" t="s">
        <v>2139</v>
      </c>
      <c r="B387" s="2" t="str">
        <f>HYPERLINK("https://my.zakupki.prom.ua/remote/dispatcher/state_purchase_view/34690533")</f>
        <v>https://my.zakupki.prom.ua/remote/dispatcher/state_purchase_view/34690533</v>
      </c>
      <c r="C387" s="1" t="s">
        <v>3536</v>
      </c>
      <c r="D387" s="1" t="s">
        <v>1288</v>
      </c>
      <c r="E387" s="4">
        <v>1</v>
      </c>
      <c r="F387" s="5">
        <v>199900</v>
      </c>
      <c r="G387" s="1" t="s">
        <v>4940</v>
      </c>
      <c r="H387" s="1" t="s">
        <v>408</v>
      </c>
      <c r="I387" s="1" t="s">
        <v>3193</v>
      </c>
      <c r="J387" s="5">
        <v>199900</v>
      </c>
      <c r="K387" s="1" t="s">
        <v>3394</v>
      </c>
      <c r="L387" s="5">
        <v>999.5</v>
      </c>
      <c r="M387" s="1" t="s">
        <v>2308</v>
      </c>
      <c r="N387" s="1" t="s">
        <v>3983</v>
      </c>
      <c r="O387" s="1" t="s">
        <v>2521</v>
      </c>
      <c r="P387" s="1" t="s">
        <v>3956</v>
      </c>
      <c r="Q387" s="1" t="s">
        <v>2820</v>
      </c>
      <c r="R387" s="1" t="s">
        <v>4394</v>
      </c>
      <c r="S387" s="1" t="s">
        <v>4937</v>
      </c>
      <c r="T387" s="6">
        <v>44593</v>
      </c>
      <c r="U387" s="6">
        <v>44599</v>
      </c>
      <c r="V387" s="7">
        <v>0.33333333333333331</v>
      </c>
      <c r="W387" s="6">
        <v>44602</v>
      </c>
      <c r="X387" s="7">
        <v>0.5</v>
      </c>
      <c r="Y387" s="1" t="s">
        <v>4860</v>
      </c>
      <c r="Z387" s="5">
        <v>340</v>
      </c>
      <c r="AA387" s="1" t="s">
        <v>3403</v>
      </c>
      <c r="AB387" s="1"/>
      <c r="AC387" s="1"/>
      <c r="AD387" s="1"/>
      <c r="AE387" s="1" t="s">
        <v>3744</v>
      </c>
      <c r="AF387" s="1" t="s">
        <v>9</v>
      </c>
      <c r="AG387" s="4">
        <v>1</v>
      </c>
      <c r="AH387" s="6">
        <v>44621</v>
      </c>
      <c r="AI387" s="6">
        <v>44681</v>
      </c>
    </row>
    <row r="388" spans="1:35" x14ac:dyDescent="0.3">
      <c r="A388" s="1" t="s">
        <v>2138</v>
      </c>
      <c r="B388" s="2" t="str">
        <f>HYPERLINK("https://my.zakupki.prom.ua/remote/dispatcher/state_purchase_view/34690524")</f>
        <v>https://my.zakupki.prom.ua/remote/dispatcher/state_purchase_view/34690524</v>
      </c>
      <c r="C388" s="1" t="s">
        <v>2628</v>
      </c>
      <c r="D388" s="1" t="s">
        <v>1155</v>
      </c>
      <c r="E388" s="4">
        <v>1</v>
      </c>
      <c r="F388" s="5">
        <v>390000</v>
      </c>
      <c r="G388" s="1" t="s">
        <v>4940</v>
      </c>
      <c r="H388" s="1" t="s">
        <v>585</v>
      </c>
      <c r="I388" s="1" t="s">
        <v>2941</v>
      </c>
      <c r="J388" s="5">
        <v>390000</v>
      </c>
      <c r="K388" s="1" t="s">
        <v>3394</v>
      </c>
      <c r="L388" s="5">
        <v>1950</v>
      </c>
      <c r="M388" s="1" t="s">
        <v>2308</v>
      </c>
      <c r="N388" s="1" t="s">
        <v>3983</v>
      </c>
      <c r="O388" s="1" t="s">
        <v>2521</v>
      </c>
      <c r="P388" s="1" t="s">
        <v>2516</v>
      </c>
      <c r="Q388" s="1" t="s">
        <v>3504</v>
      </c>
      <c r="R388" s="1" t="s">
        <v>4081</v>
      </c>
      <c r="S388" s="1" t="s">
        <v>4971</v>
      </c>
      <c r="T388" s="6">
        <v>44593</v>
      </c>
      <c r="U388" s="6">
        <v>44593</v>
      </c>
      <c r="V388" s="7">
        <v>0.5622017355208333</v>
      </c>
      <c r="W388" s="6">
        <v>44624</v>
      </c>
      <c r="X388" s="7">
        <v>0.55555555555555558</v>
      </c>
      <c r="Y388" s="8">
        <v>44662.639016203706</v>
      </c>
      <c r="Z388" s="5">
        <v>510</v>
      </c>
      <c r="AA388" s="1" t="s">
        <v>3403</v>
      </c>
      <c r="AB388" s="1"/>
      <c r="AC388" s="1"/>
      <c r="AD388" s="1"/>
      <c r="AE388" s="1" t="s">
        <v>3744</v>
      </c>
      <c r="AF388" s="1" t="s">
        <v>9</v>
      </c>
      <c r="AG388" s="4">
        <v>12</v>
      </c>
      <c r="AH388" s="1"/>
      <c r="AI388" s="6">
        <v>44926</v>
      </c>
    </row>
    <row r="389" spans="1:35" x14ac:dyDescent="0.3">
      <c r="A389" s="1" t="s">
        <v>2135</v>
      </c>
      <c r="B389" s="2" t="str">
        <f>HYPERLINK("https://my.zakupki.prom.ua/remote/dispatcher/state_purchase_view/34690194")</f>
        <v>https://my.zakupki.prom.ua/remote/dispatcher/state_purchase_view/34690194</v>
      </c>
      <c r="C389" s="1" t="s">
        <v>2320</v>
      </c>
      <c r="D389" s="1" t="s">
        <v>852</v>
      </c>
      <c r="E389" s="4">
        <v>10</v>
      </c>
      <c r="F389" s="5">
        <v>13997.63</v>
      </c>
      <c r="G389" s="1" t="s">
        <v>4991</v>
      </c>
      <c r="H389" s="1" t="s">
        <v>733</v>
      </c>
      <c r="I389" s="1" t="s">
        <v>2345</v>
      </c>
      <c r="J389" s="5">
        <v>139976.29999999999</v>
      </c>
      <c r="K389" s="1" t="s">
        <v>3394</v>
      </c>
      <c r="L389" s="5">
        <v>2099.64</v>
      </c>
      <c r="M389" s="1" t="s">
        <v>2308</v>
      </c>
      <c r="N389" s="1" t="s">
        <v>3983</v>
      </c>
      <c r="O389" s="1" t="s">
        <v>2521</v>
      </c>
      <c r="P389" s="1" t="s">
        <v>3956</v>
      </c>
      <c r="Q389" s="1" t="s">
        <v>4911</v>
      </c>
      <c r="R389" s="1" t="s">
        <v>4081</v>
      </c>
      <c r="S389" s="1" t="s">
        <v>4937</v>
      </c>
      <c r="T389" s="6">
        <v>44593</v>
      </c>
      <c r="U389" s="6">
        <v>44599</v>
      </c>
      <c r="V389" s="7">
        <v>0.66666666666666663</v>
      </c>
      <c r="W389" s="6">
        <v>44602</v>
      </c>
      <c r="X389" s="7">
        <v>0.66666666666666663</v>
      </c>
      <c r="Y389" s="1" t="s">
        <v>4860</v>
      </c>
      <c r="Z389" s="5">
        <v>340</v>
      </c>
      <c r="AA389" s="1" t="s">
        <v>3403</v>
      </c>
      <c r="AB389" s="1"/>
      <c r="AC389" s="1"/>
      <c r="AD389" s="1"/>
      <c r="AE389" s="1" t="s">
        <v>2353</v>
      </c>
      <c r="AF389" s="1" t="s">
        <v>9</v>
      </c>
      <c r="AG389" s="4">
        <v>84</v>
      </c>
      <c r="AH389" s="1"/>
      <c r="AI389" s="6">
        <v>44651</v>
      </c>
    </row>
    <row r="390" spans="1:35" x14ac:dyDescent="0.3">
      <c r="A390" s="1" t="s">
        <v>2134</v>
      </c>
      <c r="B390" s="2" t="str">
        <f>HYPERLINK("https://my.zakupki.prom.ua/remote/dispatcher/state_purchase_view/34690448")</f>
        <v>https://my.zakupki.prom.ua/remote/dispatcher/state_purchase_view/34690448</v>
      </c>
      <c r="C390" s="1" t="s">
        <v>3008</v>
      </c>
      <c r="D390" s="1" t="s">
        <v>504</v>
      </c>
      <c r="E390" s="4">
        <v>790</v>
      </c>
      <c r="F390" s="5">
        <v>250</v>
      </c>
      <c r="G390" s="1" t="s">
        <v>4901</v>
      </c>
      <c r="H390" s="1" t="s">
        <v>146</v>
      </c>
      <c r="I390" s="1" t="s">
        <v>4029</v>
      </c>
      <c r="J390" s="5">
        <v>197500</v>
      </c>
      <c r="K390" s="1" t="s">
        <v>3394</v>
      </c>
      <c r="L390" s="5">
        <v>987.5</v>
      </c>
      <c r="M390" s="1" t="s">
        <v>2308</v>
      </c>
      <c r="N390" s="1" t="s">
        <v>3983</v>
      </c>
      <c r="O390" s="1" t="s">
        <v>2521</v>
      </c>
      <c r="P390" s="1" t="s">
        <v>3956</v>
      </c>
      <c r="Q390" s="1" t="s">
        <v>2796</v>
      </c>
      <c r="R390" s="1" t="s">
        <v>4449</v>
      </c>
      <c r="S390" s="1" t="s">
        <v>4937</v>
      </c>
      <c r="T390" s="6">
        <v>44593</v>
      </c>
      <c r="U390" s="6">
        <v>44599</v>
      </c>
      <c r="V390" s="7">
        <v>0.375</v>
      </c>
      <c r="W390" s="6">
        <v>44602</v>
      </c>
      <c r="X390" s="7">
        <v>0.58333333333333337</v>
      </c>
      <c r="Y390" s="1" t="s">
        <v>4860</v>
      </c>
      <c r="Z390" s="5">
        <v>340</v>
      </c>
      <c r="AA390" s="1" t="s">
        <v>3403</v>
      </c>
      <c r="AB390" s="1"/>
      <c r="AC390" s="1"/>
      <c r="AD390" s="1"/>
      <c r="AE390" s="1" t="s">
        <v>3788</v>
      </c>
      <c r="AF390" s="1" t="s">
        <v>9</v>
      </c>
      <c r="AG390" s="4">
        <v>2</v>
      </c>
      <c r="AH390" s="1"/>
      <c r="AI390" s="6">
        <v>44918</v>
      </c>
    </row>
    <row r="391" spans="1:35" x14ac:dyDescent="0.3">
      <c r="A391" s="1" t="s">
        <v>2131</v>
      </c>
      <c r="B391" s="2" t="str">
        <f>HYPERLINK("https://my.zakupki.prom.ua/remote/dispatcher/state_purchase_view/34690419")</f>
        <v>https://my.zakupki.prom.ua/remote/dispatcher/state_purchase_view/34690419</v>
      </c>
      <c r="C391" s="1" t="s">
        <v>2775</v>
      </c>
      <c r="D391" s="1" t="s">
        <v>387</v>
      </c>
      <c r="E391" s="4">
        <v>80735</v>
      </c>
      <c r="F391" s="5">
        <v>6.2</v>
      </c>
      <c r="G391" s="1" t="s">
        <v>3235</v>
      </c>
      <c r="H391" s="1" t="s">
        <v>651</v>
      </c>
      <c r="I391" s="1" t="s">
        <v>2997</v>
      </c>
      <c r="J391" s="5">
        <v>500553</v>
      </c>
      <c r="K391" s="1" t="s">
        <v>3394</v>
      </c>
      <c r="L391" s="5">
        <v>2502.77</v>
      </c>
      <c r="M391" s="1" t="s">
        <v>2308</v>
      </c>
      <c r="N391" s="1" t="s">
        <v>3983</v>
      </c>
      <c r="O391" s="1" t="s">
        <v>2521</v>
      </c>
      <c r="P391" s="1" t="s">
        <v>2515</v>
      </c>
      <c r="Q391" s="1" t="s">
        <v>2761</v>
      </c>
      <c r="R391" s="1" t="s">
        <v>4496</v>
      </c>
      <c r="S391" s="1" t="s">
        <v>4971</v>
      </c>
      <c r="T391" s="6">
        <v>44593</v>
      </c>
      <c r="U391" s="6">
        <v>44593</v>
      </c>
      <c r="V391" s="7">
        <v>0.55984814418981477</v>
      </c>
      <c r="W391" s="6">
        <v>44609</v>
      </c>
      <c r="X391" s="7">
        <v>0.41666666666666669</v>
      </c>
      <c r="Y391" s="8">
        <v>44610.554571759261</v>
      </c>
      <c r="Z391" s="5">
        <v>510</v>
      </c>
      <c r="AA391" s="1" t="s">
        <v>3403</v>
      </c>
      <c r="AB391" s="1"/>
      <c r="AC391" s="1"/>
      <c r="AD391" s="1"/>
      <c r="AE391" s="1" t="s">
        <v>3768</v>
      </c>
      <c r="AF391" s="1" t="s">
        <v>9</v>
      </c>
      <c r="AG391" s="4">
        <v>1</v>
      </c>
      <c r="AH391" s="1"/>
      <c r="AI391" s="6">
        <v>44926</v>
      </c>
    </row>
    <row r="392" spans="1:35" x14ac:dyDescent="0.3">
      <c r="A392" s="1" t="s">
        <v>2130</v>
      </c>
      <c r="B392" s="2" t="str">
        <f>HYPERLINK("https://my.zakupki.prom.ua/remote/dispatcher/state_purchase_view/34690412")</f>
        <v>https://my.zakupki.prom.ua/remote/dispatcher/state_purchase_view/34690412</v>
      </c>
      <c r="C392" s="1" t="s">
        <v>3038</v>
      </c>
      <c r="D392" s="1" t="s">
        <v>1140</v>
      </c>
      <c r="E392" s="4">
        <v>1</v>
      </c>
      <c r="F392" s="5">
        <v>390000</v>
      </c>
      <c r="G392" s="1" t="s">
        <v>4940</v>
      </c>
      <c r="H392" s="1" t="s">
        <v>362</v>
      </c>
      <c r="I392" s="1" t="s">
        <v>2569</v>
      </c>
      <c r="J392" s="5">
        <v>390000</v>
      </c>
      <c r="K392" s="1" t="s">
        <v>3394</v>
      </c>
      <c r="L392" s="5">
        <v>1950</v>
      </c>
      <c r="M392" s="1" t="s">
        <v>2308</v>
      </c>
      <c r="N392" s="1" t="s">
        <v>3983</v>
      </c>
      <c r="O392" s="1" t="s">
        <v>2521</v>
      </c>
      <c r="P392" s="1" t="s">
        <v>2515</v>
      </c>
      <c r="Q392" s="1" t="s">
        <v>3970</v>
      </c>
      <c r="R392" s="1" t="s">
        <v>4068</v>
      </c>
      <c r="S392" s="1" t="s">
        <v>4971</v>
      </c>
      <c r="T392" s="6">
        <v>44593</v>
      </c>
      <c r="U392" s="6">
        <v>44593</v>
      </c>
      <c r="V392" s="7">
        <v>0.55977375207175928</v>
      </c>
      <c r="W392" s="6">
        <v>44609</v>
      </c>
      <c r="X392" s="7">
        <v>0</v>
      </c>
      <c r="Y392" s="8">
        <v>44609.597418981481</v>
      </c>
      <c r="Z392" s="5">
        <v>510</v>
      </c>
      <c r="AA392" s="1" t="s">
        <v>3403</v>
      </c>
      <c r="AB392" s="1"/>
      <c r="AC392" s="1"/>
      <c r="AD392" s="1"/>
      <c r="AE392" s="1" t="s">
        <v>3736</v>
      </c>
      <c r="AF392" s="1" t="s">
        <v>9</v>
      </c>
      <c r="AG392" s="4">
        <v>7</v>
      </c>
      <c r="AH392" s="1"/>
      <c r="AI392" s="6">
        <v>44652</v>
      </c>
    </row>
    <row r="393" spans="1:35" x14ac:dyDescent="0.3">
      <c r="A393" s="1" t="s">
        <v>2128</v>
      </c>
      <c r="B393" s="2" t="str">
        <f>HYPERLINK("https://my.zakupki.prom.ua/remote/dispatcher/state_purchase_view/34690389")</f>
        <v>https://my.zakupki.prom.ua/remote/dispatcher/state_purchase_view/34690389</v>
      </c>
      <c r="C393" s="1" t="s">
        <v>3351</v>
      </c>
      <c r="D393" s="1" t="s">
        <v>1207</v>
      </c>
      <c r="E393" s="4">
        <v>7</v>
      </c>
      <c r="F393" s="5">
        <v>1714.29</v>
      </c>
      <c r="G393" s="1" t="s">
        <v>4940</v>
      </c>
      <c r="H393" s="1" t="s">
        <v>319</v>
      </c>
      <c r="I393" s="1" t="s">
        <v>2518</v>
      </c>
      <c r="J393" s="5">
        <v>12000</v>
      </c>
      <c r="K393" s="1" t="s">
        <v>3394</v>
      </c>
      <c r="L393" s="5">
        <v>60</v>
      </c>
      <c r="M393" s="1" t="s">
        <v>2308</v>
      </c>
      <c r="N393" s="1" t="s">
        <v>3983</v>
      </c>
      <c r="O393" s="1" t="s">
        <v>2521</v>
      </c>
      <c r="P393" s="1" t="s">
        <v>3956</v>
      </c>
      <c r="Q393" s="1" t="s">
        <v>2761</v>
      </c>
      <c r="R393" s="1" t="s">
        <v>4253</v>
      </c>
      <c r="S393" s="1" t="s">
        <v>4937</v>
      </c>
      <c r="T393" s="6">
        <v>44593</v>
      </c>
      <c r="U393" s="6">
        <v>44599</v>
      </c>
      <c r="V393" s="7">
        <v>0.375</v>
      </c>
      <c r="W393" s="6">
        <v>44602</v>
      </c>
      <c r="X393" s="7">
        <v>0.375</v>
      </c>
      <c r="Y393" s="1" t="s">
        <v>4860</v>
      </c>
      <c r="Z393" s="5">
        <v>17</v>
      </c>
      <c r="AA393" s="1" t="s">
        <v>3403</v>
      </c>
      <c r="AB393" s="1"/>
      <c r="AC393" s="1"/>
      <c r="AD393" s="1"/>
      <c r="AE393" s="1" t="s">
        <v>3729</v>
      </c>
      <c r="AF393" s="1" t="s">
        <v>9</v>
      </c>
      <c r="AG393" s="1" t="s">
        <v>9</v>
      </c>
      <c r="AH393" s="1"/>
      <c r="AI393" s="6">
        <v>44926</v>
      </c>
    </row>
    <row r="394" spans="1:35" x14ac:dyDescent="0.3">
      <c r="A394" s="1" t="s">
        <v>2127</v>
      </c>
      <c r="B394" s="2" t="str">
        <f>HYPERLINK("https://my.zakupki.prom.ua/remote/dispatcher/state_purchase_view/34690195")</f>
        <v>https://my.zakupki.prom.ua/remote/dispatcher/state_purchase_view/34690195</v>
      </c>
      <c r="C394" s="1" t="s">
        <v>3333</v>
      </c>
      <c r="D394" s="1" t="s">
        <v>472</v>
      </c>
      <c r="E394" s="4">
        <v>5500</v>
      </c>
      <c r="F394" s="5">
        <v>26</v>
      </c>
      <c r="G394" s="1" t="s">
        <v>4901</v>
      </c>
      <c r="H394" s="1" t="s">
        <v>608</v>
      </c>
      <c r="I394" s="1" t="s">
        <v>2833</v>
      </c>
      <c r="J394" s="5">
        <v>143000</v>
      </c>
      <c r="K394" s="1" t="s">
        <v>3394</v>
      </c>
      <c r="L394" s="5">
        <v>715</v>
      </c>
      <c r="M394" s="1" t="s">
        <v>2308</v>
      </c>
      <c r="N394" s="1" t="s">
        <v>3983</v>
      </c>
      <c r="O394" s="1" t="s">
        <v>2521</v>
      </c>
      <c r="P394" s="1" t="s">
        <v>3956</v>
      </c>
      <c r="Q394" s="1" t="s">
        <v>4805</v>
      </c>
      <c r="R394" s="1" t="s">
        <v>4129</v>
      </c>
      <c r="S394" s="1" t="s">
        <v>4937</v>
      </c>
      <c r="T394" s="6">
        <v>44593</v>
      </c>
      <c r="U394" s="6">
        <v>44599</v>
      </c>
      <c r="V394" s="7">
        <v>0.75</v>
      </c>
      <c r="W394" s="6">
        <v>44602</v>
      </c>
      <c r="X394" s="7">
        <v>0.75</v>
      </c>
      <c r="Y394" s="1" t="s">
        <v>4860</v>
      </c>
      <c r="Z394" s="5">
        <v>340</v>
      </c>
      <c r="AA394" s="1" t="s">
        <v>3403</v>
      </c>
      <c r="AB394" s="1"/>
      <c r="AC394" s="1"/>
      <c r="AD394" s="1"/>
      <c r="AE394" s="1" t="s">
        <v>3787</v>
      </c>
      <c r="AF394" s="1" t="s">
        <v>9</v>
      </c>
      <c r="AG394" s="1" t="s">
        <v>9</v>
      </c>
      <c r="AH394" s="1"/>
      <c r="AI394" s="6">
        <v>44926</v>
      </c>
    </row>
    <row r="395" spans="1:35" x14ac:dyDescent="0.3">
      <c r="A395" s="1" t="s">
        <v>2125</v>
      </c>
      <c r="B395" s="2" t="str">
        <f>HYPERLINK("https://my.zakupki.prom.ua/remote/dispatcher/state_purchase_view/34690363")</f>
        <v>https://my.zakupki.prom.ua/remote/dispatcher/state_purchase_view/34690363</v>
      </c>
      <c r="C395" s="1" t="s">
        <v>3439</v>
      </c>
      <c r="D395" s="1" t="s">
        <v>455</v>
      </c>
      <c r="E395" s="1" t="s">
        <v>4903</v>
      </c>
      <c r="F395" s="1" t="s">
        <v>4903</v>
      </c>
      <c r="G395" s="1" t="s">
        <v>4903</v>
      </c>
      <c r="H395" s="1" t="s">
        <v>199</v>
      </c>
      <c r="I395" s="1" t="s">
        <v>2858</v>
      </c>
      <c r="J395" s="5">
        <v>76500</v>
      </c>
      <c r="K395" s="1" t="s">
        <v>3394</v>
      </c>
      <c r="L395" s="5">
        <v>765</v>
      </c>
      <c r="M395" s="1" t="s">
        <v>2308</v>
      </c>
      <c r="N395" s="1" t="s">
        <v>3983</v>
      </c>
      <c r="O395" s="1" t="s">
        <v>2521</v>
      </c>
      <c r="P395" s="1" t="s">
        <v>3956</v>
      </c>
      <c r="Q395" s="1" t="s">
        <v>2761</v>
      </c>
      <c r="R395" s="1" t="s">
        <v>4591</v>
      </c>
      <c r="S395" s="1" t="s">
        <v>4937</v>
      </c>
      <c r="T395" s="6">
        <v>44593</v>
      </c>
      <c r="U395" s="6">
        <v>44600</v>
      </c>
      <c r="V395" s="7">
        <v>0.5</v>
      </c>
      <c r="W395" s="6">
        <v>44603</v>
      </c>
      <c r="X395" s="7">
        <v>0.99930555555555556</v>
      </c>
      <c r="Y395" s="1" t="s">
        <v>4860</v>
      </c>
      <c r="Z395" s="5">
        <v>340</v>
      </c>
      <c r="AA395" s="1" t="s">
        <v>3403</v>
      </c>
      <c r="AB395" s="1"/>
      <c r="AC395" s="1"/>
      <c r="AD395" s="1"/>
      <c r="AE395" s="1" t="s">
        <v>3788</v>
      </c>
      <c r="AF395" s="1" t="s">
        <v>9</v>
      </c>
      <c r="AG395" s="4">
        <v>16</v>
      </c>
      <c r="AH395" s="1"/>
      <c r="AI395" s="6">
        <v>44926</v>
      </c>
    </row>
    <row r="396" spans="1:35" x14ac:dyDescent="0.3">
      <c r="A396" s="1" t="s">
        <v>1716</v>
      </c>
      <c r="B396" s="2" t="str">
        <f>HYPERLINK("https://my.zakupki.prom.ua/remote/dispatcher/state_purchase_view/34690356")</f>
        <v>https://my.zakupki.prom.ua/remote/dispatcher/state_purchase_view/34690356</v>
      </c>
      <c r="C396" s="1" t="s">
        <v>3537</v>
      </c>
      <c r="D396" s="1" t="s">
        <v>1181</v>
      </c>
      <c r="E396" s="4">
        <v>1</v>
      </c>
      <c r="F396" s="5">
        <v>65000</v>
      </c>
      <c r="G396" s="1" t="s">
        <v>4940</v>
      </c>
      <c r="H396" s="1" t="s">
        <v>975</v>
      </c>
      <c r="I396" s="1" t="s">
        <v>2548</v>
      </c>
      <c r="J396" s="5">
        <v>65000</v>
      </c>
      <c r="K396" s="1" t="s">
        <v>3394</v>
      </c>
      <c r="L396" s="5">
        <v>650</v>
      </c>
      <c r="M396" s="1" t="s">
        <v>2308</v>
      </c>
      <c r="N396" s="1" t="s">
        <v>3983</v>
      </c>
      <c r="O396" s="1" t="s">
        <v>2521</v>
      </c>
      <c r="P396" s="1" t="s">
        <v>3956</v>
      </c>
      <c r="Q396" s="1" t="s">
        <v>3035</v>
      </c>
      <c r="R396" s="1" t="s">
        <v>4502</v>
      </c>
      <c r="S396" s="1" t="s">
        <v>4937</v>
      </c>
      <c r="T396" s="6">
        <v>44593</v>
      </c>
      <c r="U396" s="6">
        <v>44599</v>
      </c>
      <c r="V396" s="7">
        <v>0.41666666666666669</v>
      </c>
      <c r="W396" s="6">
        <v>44602</v>
      </c>
      <c r="X396" s="7">
        <v>0.41666666666666669</v>
      </c>
      <c r="Y396" s="1" t="s">
        <v>4860</v>
      </c>
      <c r="Z396" s="5">
        <v>340</v>
      </c>
      <c r="AA396" s="1" t="s">
        <v>3403</v>
      </c>
      <c r="AB396" s="1"/>
      <c r="AC396" s="1"/>
      <c r="AD396" s="1"/>
      <c r="AE396" s="1" t="s">
        <v>3754</v>
      </c>
      <c r="AF396" s="1" t="s">
        <v>9</v>
      </c>
      <c r="AG396" s="4">
        <v>31</v>
      </c>
      <c r="AH396" s="6">
        <v>44613</v>
      </c>
      <c r="AI396" s="6">
        <v>44926</v>
      </c>
    </row>
    <row r="397" spans="1:35" x14ac:dyDescent="0.3">
      <c r="A397" s="1" t="s">
        <v>1721</v>
      </c>
      <c r="B397" s="2" t="str">
        <f>HYPERLINK("https://my.zakupki.prom.ua/remote/dispatcher/state_purchase_view/34690352")</f>
        <v>https://my.zakupki.prom.ua/remote/dispatcher/state_purchase_view/34690352</v>
      </c>
      <c r="C397" s="1" t="s">
        <v>4803</v>
      </c>
      <c r="D397" s="1" t="s">
        <v>494</v>
      </c>
      <c r="E397" s="1" t="s">
        <v>4903</v>
      </c>
      <c r="F397" s="1" t="s">
        <v>4903</v>
      </c>
      <c r="G397" s="1" t="s">
        <v>4903</v>
      </c>
      <c r="H397" s="1" t="s">
        <v>204</v>
      </c>
      <c r="I397" s="1" t="s">
        <v>3210</v>
      </c>
      <c r="J397" s="5">
        <v>199500</v>
      </c>
      <c r="K397" s="1" t="s">
        <v>3394</v>
      </c>
      <c r="L397" s="5">
        <v>997.5</v>
      </c>
      <c r="M397" s="1" t="s">
        <v>2308</v>
      </c>
      <c r="N397" s="1" t="s">
        <v>3403</v>
      </c>
      <c r="O397" s="1" t="s">
        <v>2521</v>
      </c>
      <c r="P397" s="1" t="s">
        <v>3956</v>
      </c>
      <c r="Q397" s="1" t="s">
        <v>4805</v>
      </c>
      <c r="R397" s="1" t="s">
        <v>4521</v>
      </c>
      <c r="S397" s="1" t="s">
        <v>4937</v>
      </c>
      <c r="T397" s="6">
        <v>44593</v>
      </c>
      <c r="U397" s="6">
        <v>44601</v>
      </c>
      <c r="V397" s="7">
        <v>0.625</v>
      </c>
      <c r="W397" s="6">
        <v>44606</v>
      </c>
      <c r="X397" s="7">
        <v>0.625</v>
      </c>
      <c r="Y397" s="1" t="s">
        <v>4860</v>
      </c>
      <c r="Z397" s="5">
        <v>340</v>
      </c>
      <c r="AA397" s="1" t="s">
        <v>3403</v>
      </c>
      <c r="AB397" s="1"/>
      <c r="AC397" s="1"/>
      <c r="AD397" s="1"/>
      <c r="AE397" s="1" t="s">
        <v>3801</v>
      </c>
      <c r="AF397" s="1" t="s">
        <v>9</v>
      </c>
      <c r="AG397" s="1" t="s">
        <v>9</v>
      </c>
      <c r="AH397" s="6">
        <v>44620</v>
      </c>
      <c r="AI397" s="6">
        <v>44926</v>
      </c>
    </row>
    <row r="398" spans="1:35" x14ac:dyDescent="0.3">
      <c r="A398" s="1" t="s">
        <v>1719</v>
      </c>
      <c r="B398" s="2" t="str">
        <f>HYPERLINK("https://my.zakupki.prom.ua/remote/dispatcher/state_purchase_view/34690349")</f>
        <v>https://my.zakupki.prom.ua/remote/dispatcher/state_purchase_view/34690349</v>
      </c>
      <c r="C398" s="1" t="s">
        <v>3548</v>
      </c>
      <c r="D398" s="1" t="s">
        <v>1176</v>
      </c>
      <c r="E398" s="4">
        <v>1</v>
      </c>
      <c r="F398" s="5">
        <v>100000</v>
      </c>
      <c r="G398" s="1" t="s">
        <v>4940</v>
      </c>
      <c r="H398" s="1" t="s">
        <v>891</v>
      </c>
      <c r="I398" s="1" t="s">
        <v>4738</v>
      </c>
      <c r="J398" s="5">
        <v>100000</v>
      </c>
      <c r="K398" s="1" t="s">
        <v>3394</v>
      </c>
      <c r="L398" s="5">
        <v>500</v>
      </c>
      <c r="M398" s="1" t="s">
        <v>2308</v>
      </c>
      <c r="N398" s="1" t="s">
        <v>3983</v>
      </c>
      <c r="O398" s="1" t="s">
        <v>2521</v>
      </c>
      <c r="P398" s="1" t="s">
        <v>3956</v>
      </c>
      <c r="Q398" s="1" t="s">
        <v>3035</v>
      </c>
      <c r="R398" s="1" t="s">
        <v>4355</v>
      </c>
      <c r="S398" s="1" t="s">
        <v>4937</v>
      </c>
      <c r="T398" s="6">
        <v>44593</v>
      </c>
      <c r="U398" s="6">
        <v>44599</v>
      </c>
      <c r="V398" s="7">
        <v>0</v>
      </c>
      <c r="W398" s="6">
        <v>44602</v>
      </c>
      <c r="X398" s="7">
        <v>0</v>
      </c>
      <c r="Y398" s="1" t="s">
        <v>4860</v>
      </c>
      <c r="Z398" s="5">
        <v>340</v>
      </c>
      <c r="AA398" s="1" t="s">
        <v>3403</v>
      </c>
      <c r="AB398" s="1"/>
      <c r="AC398" s="1"/>
      <c r="AD398" s="1"/>
      <c r="AE398" s="1" t="s">
        <v>3758</v>
      </c>
      <c r="AF398" s="1" t="s">
        <v>9</v>
      </c>
      <c r="AG398" s="4">
        <v>203</v>
      </c>
      <c r="AH398" s="1"/>
      <c r="AI398" s="6">
        <v>44640</v>
      </c>
    </row>
    <row r="399" spans="1:35" x14ac:dyDescent="0.3">
      <c r="A399" s="1" t="s">
        <v>1715</v>
      </c>
      <c r="B399" s="2" t="str">
        <f>HYPERLINK("https://my.zakupki.prom.ua/remote/dispatcher/state_purchase_view/34690335")</f>
        <v>https://my.zakupki.prom.ua/remote/dispatcher/state_purchase_view/34690335</v>
      </c>
      <c r="C399" s="1" t="s">
        <v>3225</v>
      </c>
      <c r="D399" s="1" t="s">
        <v>488</v>
      </c>
      <c r="E399" s="1" t="s">
        <v>4903</v>
      </c>
      <c r="F399" s="1" t="s">
        <v>4903</v>
      </c>
      <c r="G399" s="1" t="s">
        <v>4903</v>
      </c>
      <c r="H399" s="1" t="s">
        <v>674</v>
      </c>
      <c r="I399" s="1" t="s">
        <v>3396</v>
      </c>
      <c r="J399" s="5">
        <v>207900</v>
      </c>
      <c r="K399" s="1" t="s">
        <v>3394</v>
      </c>
      <c r="L399" s="5">
        <v>2079</v>
      </c>
      <c r="M399" s="1" t="s">
        <v>2308</v>
      </c>
      <c r="N399" s="1" t="s">
        <v>3983</v>
      </c>
      <c r="O399" s="1" t="s">
        <v>2521</v>
      </c>
      <c r="P399" s="1" t="s">
        <v>2515</v>
      </c>
      <c r="Q399" s="1" t="s">
        <v>3035</v>
      </c>
      <c r="R399" s="1" t="s">
        <v>4159</v>
      </c>
      <c r="S399" s="1" t="s">
        <v>4971</v>
      </c>
      <c r="T399" s="6">
        <v>44593</v>
      </c>
      <c r="U399" s="6">
        <v>44593</v>
      </c>
      <c r="V399" s="7">
        <v>0.55698789262731474</v>
      </c>
      <c r="W399" s="6">
        <v>44609</v>
      </c>
      <c r="X399" s="7">
        <v>0</v>
      </c>
      <c r="Y399" s="8">
        <v>44609.577673611115</v>
      </c>
      <c r="Z399" s="5">
        <v>510</v>
      </c>
      <c r="AA399" s="1" t="s">
        <v>3403</v>
      </c>
      <c r="AB399" s="1"/>
      <c r="AC399" s="1"/>
      <c r="AD399" s="1"/>
      <c r="AE399" s="1" t="s">
        <v>3788</v>
      </c>
      <c r="AF399" s="1" t="s">
        <v>9</v>
      </c>
      <c r="AG399" s="4">
        <v>13</v>
      </c>
      <c r="AH399" s="1"/>
      <c r="AI399" s="6">
        <v>44923</v>
      </c>
    </row>
    <row r="400" spans="1:35" x14ac:dyDescent="0.3">
      <c r="A400" s="1" t="s">
        <v>2106</v>
      </c>
      <c r="B400" s="2" t="str">
        <f>HYPERLINK("https://my.zakupki.prom.ua/remote/dispatcher/state_purchase_view/34690318")</f>
        <v>https://my.zakupki.prom.ua/remote/dispatcher/state_purchase_view/34690318</v>
      </c>
      <c r="C400" s="1" t="s">
        <v>4012</v>
      </c>
      <c r="D400" s="1" t="s">
        <v>515</v>
      </c>
      <c r="E400" s="4">
        <v>2</v>
      </c>
      <c r="F400" s="5">
        <v>603000</v>
      </c>
      <c r="G400" s="1" t="s">
        <v>4989</v>
      </c>
      <c r="H400" s="1" t="s">
        <v>307</v>
      </c>
      <c r="I400" s="1" t="s">
        <v>2812</v>
      </c>
      <c r="J400" s="5">
        <v>1206000</v>
      </c>
      <c r="K400" s="1" t="s">
        <v>3394</v>
      </c>
      <c r="L400" s="5">
        <v>6030</v>
      </c>
      <c r="M400" s="1" t="s">
        <v>2308</v>
      </c>
      <c r="N400" s="1" t="s">
        <v>3983</v>
      </c>
      <c r="O400" s="1" t="s">
        <v>2521</v>
      </c>
      <c r="P400" s="1" t="s">
        <v>2515</v>
      </c>
      <c r="Q400" s="1" t="s">
        <v>4805</v>
      </c>
      <c r="R400" s="1" t="s">
        <v>4540</v>
      </c>
      <c r="S400" s="1" t="s">
        <v>4971</v>
      </c>
      <c r="T400" s="6">
        <v>44593</v>
      </c>
      <c r="U400" s="6">
        <v>44593</v>
      </c>
      <c r="V400" s="7">
        <v>0.55130398774305556</v>
      </c>
      <c r="W400" s="6">
        <v>44609</v>
      </c>
      <c r="X400" s="7">
        <v>0.75</v>
      </c>
      <c r="Y400" s="8">
        <v>44610.602696759262</v>
      </c>
      <c r="Z400" s="5">
        <v>1700</v>
      </c>
      <c r="AA400" s="1" t="s">
        <v>3403</v>
      </c>
      <c r="AB400" s="1"/>
      <c r="AC400" s="1"/>
      <c r="AD400" s="1"/>
      <c r="AE400" s="1" t="s">
        <v>3797</v>
      </c>
      <c r="AF400" s="1" t="s">
        <v>9</v>
      </c>
      <c r="AG400" s="1" t="s">
        <v>9</v>
      </c>
      <c r="AH400" s="1"/>
      <c r="AI400" s="6">
        <v>44926</v>
      </c>
    </row>
    <row r="401" spans="1:35" x14ac:dyDescent="0.3">
      <c r="A401" s="1" t="s">
        <v>1711</v>
      </c>
      <c r="B401" s="2" t="str">
        <f>HYPERLINK("https://my.zakupki.prom.ua/remote/dispatcher/state_purchase_view/34690314")</f>
        <v>https://my.zakupki.prom.ua/remote/dispatcher/state_purchase_view/34690314</v>
      </c>
      <c r="C401" s="1" t="s">
        <v>2775</v>
      </c>
      <c r="D401" s="1" t="s">
        <v>387</v>
      </c>
      <c r="E401" s="4">
        <v>41382</v>
      </c>
      <c r="F401" s="5">
        <v>5</v>
      </c>
      <c r="G401" s="1" t="s">
        <v>3234</v>
      </c>
      <c r="H401" s="1" t="s">
        <v>892</v>
      </c>
      <c r="I401" s="1" t="s">
        <v>4754</v>
      </c>
      <c r="J401" s="5">
        <v>206910.6</v>
      </c>
      <c r="K401" s="1" t="s">
        <v>3394</v>
      </c>
      <c r="L401" s="5">
        <v>1034.55</v>
      </c>
      <c r="M401" s="1" t="s">
        <v>2308</v>
      </c>
      <c r="N401" s="1" t="s">
        <v>3983</v>
      </c>
      <c r="O401" s="1" t="s">
        <v>2521</v>
      </c>
      <c r="P401" s="1" t="s">
        <v>2515</v>
      </c>
      <c r="Q401" s="1" t="s">
        <v>3035</v>
      </c>
      <c r="R401" s="1" t="s">
        <v>4071</v>
      </c>
      <c r="S401" s="1" t="s">
        <v>4971</v>
      </c>
      <c r="T401" s="6">
        <v>44593</v>
      </c>
      <c r="U401" s="6">
        <v>44593</v>
      </c>
      <c r="V401" s="7">
        <v>0.55512944719907409</v>
      </c>
      <c r="W401" s="6">
        <v>44609</v>
      </c>
      <c r="X401" s="7">
        <v>0.58333333333333337</v>
      </c>
      <c r="Y401" s="8">
        <v>44610.579780092594</v>
      </c>
      <c r="Z401" s="5">
        <v>510</v>
      </c>
      <c r="AA401" s="1" t="s">
        <v>3403</v>
      </c>
      <c r="AB401" s="1"/>
      <c r="AC401" s="1"/>
      <c r="AD401" s="1"/>
      <c r="AE401" s="1" t="s">
        <v>3736</v>
      </c>
      <c r="AF401" s="1" t="s">
        <v>9</v>
      </c>
      <c r="AG401" s="4">
        <v>1</v>
      </c>
      <c r="AH401" s="6">
        <v>44621</v>
      </c>
      <c r="AI401" s="6">
        <v>44926</v>
      </c>
    </row>
    <row r="402" spans="1:35" x14ac:dyDescent="0.3">
      <c r="A402" s="1" t="s">
        <v>1441</v>
      </c>
      <c r="B402" s="2" t="str">
        <f>HYPERLINK("https://my.zakupki.prom.ua/remote/dispatcher/state_purchase_view/34690301")</f>
        <v>https://my.zakupki.prom.ua/remote/dispatcher/state_purchase_view/34690301</v>
      </c>
      <c r="C402" s="1" t="s">
        <v>3549</v>
      </c>
      <c r="D402" s="1" t="s">
        <v>1180</v>
      </c>
      <c r="E402" s="4">
        <v>1</v>
      </c>
      <c r="F402" s="5">
        <v>24526.560000000001</v>
      </c>
      <c r="G402" s="1" t="s">
        <v>4939</v>
      </c>
      <c r="H402" s="1" t="s">
        <v>964</v>
      </c>
      <c r="I402" s="1" t="s">
        <v>2932</v>
      </c>
      <c r="J402" s="5">
        <v>24526.560000000001</v>
      </c>
      <c r="K402" s="1" t="s">
        <v>3394</v>
      </c>
      <c r="L402" s="5">
        <v>245.27</v>
      </c>
      <c r="M402" s="1" t="s">
        <v>2308</v>
      </c>
      <c r="N402" s="1" t="s">
        <v>3983</v>
      </c>
      <c r="O402" s="1" t="s">
        <v>2521</v>
      </c>
      <c r="P402" s="1" t="s">
        <v>3956</v>
      </c>
      <c r="Q402" s="1" t="s">
        <v>3035</v>
      </c>
      <c r="R402" s="1" t="s">
        <v>4081</v>
      </c>
      <c r="S402" s="1" t="s">
        <v>4937</v>
      </c>
      <c r="T402" s="6">
        <v>44593</v>
      </c>
      <c r="U402" s="6">
        <v>44599</v>
      </c>
      <c r="V402" s="7">
        <v>0.70833333333333337</v>
      </c>
      <c r="W402" s="6">
        <v>44602</v>
      </c>
      <c r="X402" s="7">
        <v>0.70833333333333337</v>
      </c>
      <c r="Y402" s="1" t="s">
        <v>4860</v>
      </c>
      <c r="Z402" s="5">
        <v>119</v>
      </c>
      <c r="AA402" s="1" t="s">
        <v>3403</v>
      </c>
      <c r="AB402" s="1"/>
      <c r="AC402" s="1"/>
      <c r="AD402" s="1"/>
      <c r="AE402" s="1" t="s">
        <v>3763</v>
      </c>
      <c r="AF402" s="1" t="s">
        <v>9</v>
      </c>
      <c r="AG402" s="4">
        <v>95</v>
      </c>
      <c r="AH402" s="1"/>
      <c r="AI402" s="6">
        <v>44926</v>
      </c>
    </row>
    <row r="403" spans="1:35" x14ac:dyDescent="0.3">
      <c r="A403" s="1" t="s">
        <v>1706</v>
      </c>
      <c r="B403" s="2" t="str">
        <f>HYPERLINK("https://my.zakupki.prom.ua/remote/dispatcher/state_purchase_view/34690287")</f>
        <v>https://my.zakupki.prom.ua/remote/dispatcher/state_purchase_view/34690287</v>
      </c>
      <c r="C403" s="1" t="s">
        <v>3590</v>
      </c>
      <c r="D403" s="1" t="s">
        <v>1157</v>
      </c>
      <c r="E403" s="4">
        <v>1</v>
      </c>
      <c r="F403" s="5">
        <v>268000</v>
      </c>
      <c r="G403" s="1" t="s">
        <v>4940</v>
      </c>
      <c r="H403" s="1" t="s">
        <v>954</v>
      </c>
      <c r="I403" s="1" t="s">
        <v>2990</v>
      </c>
      <c r="J403" s="5">
        <v>268000</v>
      </c>
      <c r="K403" s="1" t="s">
        <v>3394</v>
      </c>
      <c r="L403" s="5">
        <v>1340</v>
      </c>
      <c r="M403" s="1" t="s">
        <v>2308</v>
      </c>
      <c r="N403" s="1" t="s">
        <v>3983</v>
      </c>
      <c r="O403" s="1" t="s">
        <v>2521</v>
      </c>
      <c r="P403" s="1" t="s">
        <v>2515</v>
      </c>
      <c r="Q403" s="1" t="s">
        <v>4805</v>
      </c>
      <c r="R403" s="1" t="s">
        <v>4081</v>
      </c>
      <c r="S403" s="1" t="s">
        <v>4971</v>
      </c>
      <c r="T403" s="6">
        <v>44593</v>
      </c>
      <c r="U403" s="6">
        <v>44593</v>
      </c>
      <c r="V403" s="7">
        <v>0.55288019630787044</v>
      </c>
      <c r="W403" s="6">
        <v>44609</v>
      </c>
      <c r="X403" s="7">
        <v>0.75</v>
      </c>
      <c r="Y403" s="8">
        <v>44610.545960648145</v>
      </c>
      <c r="Z403" s="5">
        <v>510</v>
      </c>
      <c r="AA403" s="1" t="s">
        <v>3403</v>
      </c>
      <c r="AB403" s="1"/>
      <c r="AC403" s="1"/>
      <c r="AD403" s="1"/>
      <c r="AE403" s="1" t="s">
        <v>3756</v>
      </c>
      <c r="AF403" s="1" t="s">
        <v>9</v>
      </c>
      <c r="AG403" s="4">
        <v>1</v>
      </c>
      <c r="AH403" s="1"/>
      <c r="AI403" s="6">
        <v>44926</v>
      </c>
    </row>
    <row r="404" spans="1:35" x14ac:dyDescent="0.3">
      <c r="A404" s="1" t="s">
        <v>2112</v>
      </c>
      <c r="B404" s="2" t="str">
        <f>HYPERLINK("https://my.zakupki.prom.ua/remote/dispatcher/state_purchase_view/34690285")</f>
        <v>https://my.zakupki.prom.ua/remote/dispatcher/state_purchase_view/34690285</v>
      </c>
      <c r="C404" s="1" t="s">
        <v>3860</v>
      </c>
      <c r="D404" s="1" t="s">
        <v>485</v>
      </c>
      <c r="E404" s="4">
        <v>15000</v>
      </c>
      <c r="F404" s="5">
        <v>29</v>
      </c>
      <c r="G404" s="1" t="s">
        <v>4883</v>
      </c>
      <c r="H404" s="1" t="s">
        <v>424</v>
      </c>
      <c r="I404" s="1" t="s">
        <v>3388</v>
      </c>
      <c r="J404" s="5">
        <v>435000</v>
      </c>
      <c r="K404" s="1" t="s">
        <v>3394</v>
      </c>
      <c r="L404" s="5">
        <v>4350</v>
      </c>
      <c r="M404" s="1" t="s">
        <v>2308</v>
      </c>
      <c r="N404" s="1" t="s">
        <v>3983</v>
      </c>
      <c r="O404" s="1" t="s">
        <v>402</v>
      </c>
      <c r="P404" s="1" t="s">
        <v>2515</v>
      </c>
      <c r="Q404" s="1" t="s">
        <v>4805</v>
      </c>
      <c r="R404" s="1" t="s">
        <v>4207</v>
      </c>
      <c r="S404" s="1" t="s">
        <v>4971</v>
      </c>
      <c r="T404" s="6">
        <v>44593</v>
      </c>
      <c r="U404" s="6">
        <v>44593</v>
      </c>
      <c r="V404" s="7">
        <v>0.55623842592592587</v>
      </c>
      <c r="W404" s="6">
        <v>44609</v>
      </c>
      <c r="X404" s="7">
        <v>0.625</v>
      </c>
      <c r="Y404" s="8">
        <v>44610.534097222226</v>
      </c>
      <c r="Z404" s="5">
        <v>510</v>
      </c>
      <c r="AA404" s="1" t="s">
        <v>3403</v>
      </c>
      <c r="AB404" s="1"/>
      <c r="AC404" s="1"/>
      <c r="AD404" s="1"/>
      <c r="AE404" s="1" t="s">
        <v>3788</v>
      </c>
      <c r="AF404" s="1" t="s">
        <v>9</v>
      </c>
      <c r="AG404" s="4">
        <v>61</v>
      </c>
      <c r="AH404" s="1"/>
      <c r="AI404" s="6">
        <v>44890</v>
      </c>
    </row>
    <row r="405" spans="1:35" x14ac:dyDescent="0.3">
      <c r="A405" s="1" t="s">
        <v>2124</v>
      </c>
      <c r="B405" s="2" t="str">
        <f>HYPERLINK("https://my.zakupki.prom.ua/remote/dispatcher/state_purchase_view/34690274")</f>
        <v>https://my.zakupki.prom.ua/remote/dispatcher/state_purchase_view/34690274</v>
      </c>
      <c r="C405" s="1" t="s">
        <v>2749</v>
      </c>
      <c r="D405" s="1" t="s">
        <v>373</v>
      </c>
      <c r="E405" s="4">
        <v>1875</v>
      </c>
      <c r="F405" s="5">
        <v>32</v>
      </c>
      <c r="G405" s="1" t="s">
        <v>4908</v>
      </c>
      <c r="H405" s="1" t="s">
        <v>669</v>
      </c>
      <c r="I405" s="1" t="s">
        <v>2960</v>
      </c>
      <c r="J405" s="5">
        <v>60000</v>
      </c>
      <c r="K405" s="1" t="s">
        <v>3394</v>
      </c>
      <c r="L405" s="5">
        <v>300</v>
      </c>
      <c r="M405" s="1" t="s">
        <v>2308</v>
      </c>
      <c r="N405" s="1" t="s">
        <v>3983</v>
      </c>
      <c r="O405" s="1" t="s">
        <v>2521</v>
      </c>
      <c r="P405" s="1" t="s">
        <v>2762</v>
      </c>
      <c r="Q405" s="1" t="s">
        <v>2528</v>
      </c>
      <c r="R405" s="1" t="s">
        <v>4488</v>
      </c>
      <c r="S405" s="1" t="s">
        <v>4937</v>
      </c>
      <c r="T405" s="6">
        <v>44593</v>
      </c>
      <c r="U405" s="6">
        <v>44599</v>
      </c>
      <c r="V405" s="7">
        <v>0.55069444444444449</v>
      </c>
      <c r="W405" s="6">
        <v>44602</v>
      </c>
      <c r="X405" s="7">
        <v>0.55069444444444449</v>
      </c>
      <c r="Y405" s="1" t="s">
        <v>4860</v>
      </c>
      <c r="Z405" s="5">
        <v>340</v>
      </c>
      <c r="AA405" s="1" t="s">
        <v>3403</v>
      </c>
      <c r="AB405" s="1"/>
      <c r="AC405" s="1"/>
      <c r="AD405" s="1"/>
      <c r="AE405" s="1" t="s">
        <v>3729</v>
      </c>
      <c r="AF405" s="1" t="s">
        <v>9</v>
      </c>
      <c r="AG405" s="4">
        <v>1</v>
      </c>
      <c r="AH405" s="1"/>
      <c r="AI405" s="6">
        <v>44926</v>
      </c>
    </row>
    <row r="406" spans="1:35" x14ac:dyDescent="0.3">
      <c r="A406" s="1" t="s">
        <v>1427</v>
      </c>
      <c r="B406" s="2" t="str">
        <f>HYPERLINK("https://my.zakupki.prom.ua/remote/dispatcher/state_purchase_view/34690278")</f>
        <v>https://my.zakupki.prom.ua/remote/dispatcher/state_purchase_view/34690278</v>
      </c>
      <c r="C406" s="1" t="s">
        <v>3010</v>
      </c>
      <c r="D406" s="1" t="s">
        <v>696</v>
      </c>
      <c r="E406" s="1" t="s">
        <v>4903</v>
      </c>
      <c r="F406" s="1" t="s">
        <v>4903</v>
      </c>
      <c r="G406" s="1" t="s">
        <v>4903</v>
      </c>
      <c r="H406" s="1" t="s">
        <v>1015</v>
      </c>
      <c r="I406" s="1" t="s">
        <v>2714</v>
      </c>
      <c r="J406" s="5">
        <v>23840</v>
      </c>
      <c r="K406" s="1" t="s">
        <v>3394</v>
      </c>
      <c r="L406" s="5">
        <v>240</v>
      </c>
      <c r="M406" s="1" t="s">
        <v>2308</v>
      </c>
      <c r="N406" s="1" t="s">
        <v>3983</v>
      </c>
      <c r="O406" s="1" t="s">
        <v>2521</v>
      </c>
      <c r="P406" s="1" t="s">
        <v>3956</v>
      </c>
      <c r="Q406" s="1" t="s">
        <v>2761</v>
      </c>
      <c r="R406" s="1" t="s">
        <v>4212</v>
      </c>
      <c r="S406" s="1" t="s">
        <v>4937</v>
      </c>
      <c r="T406" s="6">
        <v>44593</v>
      </c>
      <c r="U406" s="6">
        <v>44599</v>
      </c>
      <c r="V406" s="7">
        <v>0.55432870370370368</v>
      </c>
      <c r="W406" s="6">
        <v>44602</v>
      </c>
      <c r="X406" s="7">
        <v>0.55432870370370368</v>
      </c>
      <c r="Y406" s="1" t="s">
        <v>4860</v>
      </c>
      <c r="Z406" s="5">
        <v>119</v>
      </c>
      <c r="AA406" s="1" t="s">
        <v>3403</v>
      </c>
      <c r="AB406" s="1"/>
      <c r="AC406" s="1"/>
      <c r="AD406" s="1"/>
      <c r="AE406" s="1" t="s">
        <v>3788</v>
      </c>
      <c r="AF406" s="1" t="s">
        <v>9</v>
      </c>
      <c r="AG406" s="4">
        <v>7</v>
      </c>
      <c r="AH406" s="1"/>
      <c r="AI406" s="6">
        <v>44634</v>
      </c>
    </row>
    <row r="407" spans="1:35" x14ac:dyDescent="0.3">
      <c r="A407" s="1" t="s">
        <v>1435</v>
      </c>
      <c r="B407" s="2" t="str">
        <f>HYPERLINK("https://my.zakupki.prom.ua/remote/dispatcher/state_purchase_view/34690255")</f>
        <v>https://my.zakupki.prom.ua/remote/dispatcher/state_purchase_view/34690255</v>
      </c>
      <c r="C407" s="1" t="s">
        <v>2831</v>
      </c>
      <c r="D407" s="1" t="s">
        <v>1124</v>
      </c>
      <c r="E407" s="4">
        <v>20</v>
      </c>
      <c r="F407" s="5">
        <v>212.6</v>
      </c>
      <c r="G407" s="1" t="s">
        <v>4924</v>
      </c>
      <c r="H407" s="1" t="s">
        <v>667</v>
      </c>
      <c r="I407" s="1" t="s">
        <v>2819</v>
      </c>
      <c r="J407" s="5">
        <v>4252</v>
      </c>
      <c r="K407" s="1" t="s">
        <v>3394</v>
      </c>
      <c r="L407" s="5">
        <v>21.26</v>
      </c>
      <c r="M407" s="1" t="s">
        <v>2308</v>
      </c>
      <c r="N407" s="1" t="s">
        <v>3983</v>
      </c>
      <c r="O407" s="1" t="s">
        <v>2521</v>
      </c>
      <c r="P407" s="1" t="s">
        <v>2762</v>
      </c>
      <c r="Q407" s="1" t="s">
        <v>2820</v>
      </c>
      <c r="R407" s="1" t="s">
        <v>4350</v>
      </c>
      <c r="S407" s="1" t="s">
        <v>4937</v>
      </c>
      <c r="T407" s="6">
        <v>44593</v>
      </c>
      <c r="U407" s="6">
        <v>44599</v>
      </c>
      <c r="V407" s="7">
        <v>0.55862268518518521</v>
      </c>
      <c r="W407" s="6">
        <v>44602</v>
      </c>
      <c r="X407" s="7">
        <v>0.55862268518518521</v>
      </c>
      <c r="Y407" s="1" t="s">
        <v>4860</v>
      </c>
      <c r="Z407" s="5">
        <v>17</v>
      </c>
      <c r="AA407" s="1" t="s">
        <v>3403</v>
      </c>
      <c r="AB407" s="1"/>
      <c r="AC407" s="1"/>
      <c r="AD407" s="1"/>
      <c r="AE407" s="1" t="s">
        <v>3765</v>
      </c>
      <c r="AF407" s="1" t="s">
        <v>9</v>
      </c>
      <c r="AG407" s="4">
        <v>2</v>
      </c>
      <c r="AH407" s="1"/>
      <c r="AI407" s="6">
        <v>44926</v>
      </c>
    </row>
    <row r="408" spans="1:35" x14ac:dyDescent="0.3">
      <c r="A408" s="1" t="s">
        <v>1437</v>
      </c>
      <c r="B408" s="2" t="str">
        <f>HYPERLINK("https://my.zakupki.prom.ua/remote/dispatcher/state_purchase_view/34690253")</f>
        <v>https://my.zakupki.prom.ua/remote/dispatcher/state_purchase_view/34690253</v>
      </c>
      <c r="C408" s="1" t="s">
        <v>3249</v>
      </c>
      <c r="D408" s="1" t="s">
        <v>821</v>
      </c>
      <c r="E408" s="4">
        <v>1</v>
      </c>
      <c r="F408" s="5">
        <v>350000</v>
      </c>
      <c r="G408" s="1" t="s">
        <v>4989</v>
      </c>
      <c r="H408" s="1" t="s">
        <v>297</v>
      </c>
      <c r="I408" s="1" t="s">
        <v>3287</v>
      </c>
      <c r="J408" s="5">
        <v>350000</v>
      </c>
      <c r="K408" s="1" t="s">
        <v>3394</v>
      </c>
      <c r="L408" s="5">
        <v>1750</v>
      </c>
      <c r="M408" s="1" t="s">
        <v>2308</v>
      </c>
      <c r="N408" s="1" t="s">
        <v>3983</v>
      </c>
      <c r="O408" s="1" t="s">
        <v>2521</v>
      </c>
      <c r="P408" s="1" t="s">
        <v>2515</v>
      </c>
      <c r="Q408" s="1" t="s">
        <v>3325</v>
      </c>
      <c r="R408" s="1" t="s">
        <v>4081</v>
      </c>
      <c r="S408" s="1" t="s">
        <v>4971</v>
      </c>
      <c r="T408" s="6">
        <v>44593</v>
      </c>
      <c r="U408" s="6">
        <v>44593</v>
      </c>
      <c r="V408" s="7">
        <v>0.55761574074074072</v>
      </c>
      <c r="W408" s="6">
        <v>44609</v>
      </c>
      <c r="X408" s="7">
        <v>0.625</v>
      </c>
      <c r="Y408" s="8">
        <v>44610.616655092592</v>
      </c>
      <c r="Z408" s="5">
        <v>510</v>
      </c>
      <c r="AA408" s="1" t="s">
        <v>3403</v>
      </c>
      <c r="AB408" s="1"/>
      <c r="AC408" s="1"/>
      <c r="AD408" s="1"/>
      <c r="AE408" s="1" t="s">
        <v>3765</v>
      </c>
      <c r="AF408" s="1" t="s">
        <v>9</v>
      </c>
      <c r="AG408" s="4">
        <v>2</v>
      </c>
      <c r="AH408" s="6">
        <v>44621</v>
      </c>
      <c r="AI408" s="6">
        <v>44652</v>
      </c>
    </row>
    <row r="409" spans="1:35" x14ac:dyDescent="0.3">
      <c r="A409" s="1" t="s">
        <v>1696</v>
      </c>
      <c r="B409" s="2" t="str">
        <f>HYPERLINK("https://my.zakupki.prom.ua/remote/dispatcher/state_purchase_view/34690245")</f>
        <v>https://my.zakupki.prom.ua/remote/dispatcher/state_purchase_view/34690245</v>
      </c>
      <c r="C409" s="1" t="s">
        <v>3491</v>
      </c>
      <c r="D409" s="1" t="s">
        <v>567</v>
      </c>
      <c r="E409" s="4">
        <v>127</v>
      </c>
      <c r="F409" s="5">
        <v>1491.34</v>
      </c>
      <c r="G409" s="1" t="s">
        <v>4924</v>
      </c>
      <c r="H409" s="1" t="s">
        <v>884</v>
      </c>
      <c r="I409" s="1" t="s">
        <v>4734</v>
      </c>
      <c r="J409" s="5">
        <v>189400</v>
      </c>
      <c r="K409" s="1" t="s">
        <v>3394</v>
      </c>
      <c r="L409" s="5">
        <v>947</v>
      </c>
      <c r="M409" s="1" t="s">
        <v>2308</v>
      </c>
      <c r="N409" s="1" t="s">
        <v>3983</v>
      </c>
      <c r="O409" s="1" t="s">
        <v>2521</v>
      </c>
      <c r="P409" s="1" t="s">
        <v>3956</v>
      </c>
      <c r="Q409" s="1" t="s">
        <v>4911</v>
      </c>
      <c r="R409" s="1" t="s">
        <v>4042</v>
      </c>
      <c r="S409" s="1" t="s">
        <v>4937</v>
      </c>
      <c r="T409" s="6">
        <v>44593</v>
      </c>
      <c r="U409" s="6">
        <v>44597</v>
      </c>
      <c r="V409" s="7">
        <v>0.55516203703703704</v>
      </c>
      <c r="W409" s="6">
        <v>44602</v>
      </c>
      <c r="X409" s="7">
        <v>0.55516203703703704</v>
      </c>
      <c r="Y409" s="1" t="s">
        <v>4860</v>
      </c>
      <c r="Z409" s="5">
        <v>340</v>
      </c>
      <c r="AA409" s="1" t="s">
        <v>3403</v>
      </c>
      <c r="AB409" s="1"/>
      <c r="AC409" s="1"/>
      <c r="AD409" s="1"/>
      <c r="AE409" s="1" t="s">
        <v>2365</v>
      </c>
      <c r="AF409" s="1" t="s">
        <v>9</v>
      </c>
      <c r="AG409" s="4">
        <v>9</v>
      </c>
      <c r="AH409" s="1"/>
      <c r="AI409" s="6">
        <v>44926</v>
      </c>
    </row>
    <row r="410" spans="1:35" x14ac:dyDescent="0.3">
      <c r="A410" s="1" t="s">
        <v>1710</v>
      </c>
      <c r="B410" s="2" t="str">
        <f>HYPERLINK("https://my.zakupki.prom.ua/remote/dispatcher/state_purchase_view/34690238")</f>
        <v>https://my.zakupki.prom.ua/remote/dispatcher/state_purchase_view/34690238</v>
      </c>
      <c r="C410" s="1" t="s">
        <v>3635</v>
      </c>
      <c r="D410" s="1" t="s">
        <v>387</v>
      </c>
      <c r="E410" s="4">
        <v>11000</v>
      </c>
      <c r="F410" s="5">
        <v>5.22</v>
      </c>
      <c r="G410" s="1" t="s">
        <v>4879</v>
      </c>
      <c r="H410" s="1" t="s">
        <v>273</v>
      </c>
      <c r="I410" s="1" t="s">
        <v>2737</v>
      </c>
      <c r="J410" s="5">
        <v>57420</v>
      </c>
      <c r="K410" s="1" t="s">
        <v>3394</v>
      </c>
      <c r="L410" s="5">
        <v>287.10000000000002</v>
      </c>
      <c r="M410" s="1" t="s">
        <v>2308</v>
      </c>
      <c r="N410" s="1" t="s">
        <v>3983</v>
      </c>
      <c r="O410" s="1" t="s">
        <v>2521</v>
      </c>
      <c r="P410" s="1" t="s">
        <v>3956</v>
      </c>
      <c r="Q410" s="1" t="s">
        <v>4831</v>
      </c>
      <c r="R410" s="1" t="s">
        <v>4245</v>
      </c>
      <c r="S410" s="1" t="s">
        <v>4937</v>
      </c>
      <c r="T410" s="6">
        <v>44593</v>
      </c>
      <c r="U410" s="6">
        <v>44600</v>
      </c>
      <c r="V410" s="7">
        <v>0</v>
      </c>
      <c r="W410" s="6">
        <v>44602</v>
      </c>
      <c r="X410" s="7">
        <v>0</v>
      </c>
      <c r="Y410" s="1" t="s">
        <v>4860</v>
      </c>
      <c r="Z410" s="5">
        <v>340</v>
      </c>
      <c r="AA410" s="1" t="s">
        <v>3403</v>
      </c>
      <c r="AB410" s="1"/>
      <c r="AC410" s="1"/>
      <c r="AD410" s="1"/>
      <c r="AE410" s="1" t="s">
        <v>3803</v>
      </c>
      <c r="AF410" s="1" t="s">
        <v>9</v>
      </c>
      <c r="AG410" s="1" t="s">
        <v>9</v>
      </c>
      <c r="AH410" s="1"/>
      <c r="AI410" s="6">
        <v>44926</v>
      </c>
    </row>
    <row r="411" spans="1:35" x14ac:dyDescent="0.3">
      <c r="A411" s="1" t="s">
        <v>1703</v>
      </c>
      <c r="B411" s="2" t="str">
        <f>HYPERLINK("https://my.zakupki.prom.ua/remote/dispatcher/state_purchase_lot_view/740744")</f>
        <v>https://my.zakupki.prom.ua/remote/dispatcher/state_purchase_lot_view/740744</v>
      </c>
      <c r="C411" s="1" t="s">
        <v>2404</v>
      </c>
      <c r="D411" s="1" t="s">
        <v>377</v>
      </c>
      <c r="E411" s="1" t="s">
        <v>4903</v>
      </c>
      <c r="F411" s="1" t="s">
        <v>4903</v>
      </c>
      <c r="G411" s="1" t="s">
        <v>4903</v>
      </c>
      <c r="H411" s="1" t="s">
        <v>939</v>
      </c>
      <c r="I411" s="1" t="s">
        <v>2543</v>
      </c>
      <c r="J411" s="5">
        <v>1021000</v>
      </c>
      <c r="K411" s="5">
        <v>1021000</v>
      </c>
      <c r="L411" s="5">
        <v>10210</v>
      </c>
      <c r="M411" s="1" t="s">
        <v>2308</v>
      </c>
      <c r="N411" s="1" t="s">
        <v>3983</v>
      </c>
      <c r="O411" s="1" t="s">
        <v>2521</v>
      </c>
      <c r="P411" s="1" t="s">
        <v>2515</v>
      </c>
      <c r="Q411" s="1" t="s">
        <v>2528</v>
      </c>
      <c r="R411" s="1" t="s">
        <v>4081</v>
      </c>
      <c r="S411" s="1" t="s">
        <v>4971</v>
      </c>
      <c r="T411" s="6">
        <v>44593</v>
      </c>
      <c r="U411" s="6">
        <v>44593</v>
      </c>
      <c r="V411" s="7">
        <v>0.55267067759259259</v>
      </c>
      <c r="W411" s="6">
        <v>44609</v>
      </c>
      <c r="X411" s="7">
        <v>0</v>
      </c>
      <c r="Y411" s="8">
        <v>44609.547337962962</v>
      </c>
      <c r="Z411" s="5">
        <v>1700</v>
      </c>
      <c r="AA411" s="1" t="s">
        <v>3403</v>
      </c>
      <c r="AB411" s="1"/>
      <c r="AC411" s="1"/>
      <c r="AD411" s="1"/>
      <c r="AE411" s="1" t="s">
        <v>3818</v>
      </c>
      <c r="AF411" s="1" t="s">
        <v>9</v>
      </c>
      <c r="AG411" s="4">
        <v>2</v>
      </c>
      <c r="AH411" s="1"/>
      <c r="AI411" s="6">
        <v>44926</v>
      </c>
    </row>
    <row r="412" spans="1:35" x14ac:dyDescent="0.3">
      <c r="A412" s="1" t="s">
        <v>2123</v>
      </c>
      <c r="B412" s="2" t="str">
        <f>HYPERLINK("https://my.zakupki.prom.ua/remote/dispatcher/state_purchase_view/34690208")</f>
        <v>https://my.zakupki.prom.ua/remote/dispatcher/state_purchase_view/34690208</v>
      </c>
      <c r="C412" s="1" t="s">
        <v>3828</v>
      </c>
      <c r="D412" s="1" t="s">
        <v>468</v>
      </c>
      <c r="E412" s="1" t="s">
        <v>4903</v>
      </c>
      <c r="F412" s="1" t="s">
        <v>4903</v>
      </c>
      <c r="G412" s="1" t="s">
        <v>4903</v>
      </c>
      <c r="H412" s="1" t="s">
        <v>185</v>
      </c>
      <c r="I412" s="1" t="s">
        <v>3398</v>
      </c>
      <c r="J412" s="5">
        <v>199720.62</v>
      </c>
      <c r="K412" s="1" t="s">
        <v>3394</v>
      </c>
      <c r="L412" s="5">
        <v>998.6</v>
      </c>
      <c r="M412" s="1" t="s">
        <v>2308</v>
      </c>
      <c r="N412" s="1" t="s">
        <v>3983</v>
      </c>
      <c r="O412" s="1" t="s">
        <v>2521</v>
      </c>
      <c r="P412" s="1" t="s">
        <v>3956</v>
      </c>
      <c r="Q412" s="1" t="s">
        <v>3426</v>
      </c>
      <c r="R412" s="1" t="s">
        <v>4197</v>
      </c>
      <c r="S412" s="1" t="s">
        <v>4937</v>
      </c>
      <c r="T412" s="6">
        <v>44593</v>
      </c>
      <c r="U412" s="6">
        <v>44599</v>
      </c>
      <c r="V412" s="7">
        <v>0.41666666666666669</v>
      </c>
      <c r="W412" s="6">
        <v>44602</v>
      </c>
      <c r="X412" s="7">
        <v>4.1666666666666664E-2</v>
      </c>
      <c r="Y412" s="1" t="s">
        <v>4860</v>
      </c>
      <c r="Z412" s="5">
        <v>340</v>
      </c>
      <c r="AA412" s="1" t="s">
        <v>3403</v>
      </c>
      <c r="AB412" s="1"/>
      <c r="AC412" s="1"/>
      <c r="AD412" s="1"/>
      <c r="AE412" s="1" t="s">
        <v>3774</v>
      </c>
      <c r="AF412" s="1" t="s">
        <v>9</v>
      </c>
      <c r="AG412" s="1" t="s">
        <v>9</v>
      </c>
      <c r="AH412" s="6">
        <v>44593</v>
      </c>
      <c r="AI412" s="6">
        <v>44926</v>
      </c>
    </row>
    <row r="413" spans="1:35" x14ac:dyDescent="0.3">
      <c r="A413" s="1" t="s">
        <v>2122</v>
      </c>
      <c r="B413" s="2" t="str">
        <f>HYPERLINK("https://my.zakupki.prom.ua/remote/dispatcher/state_purchase_view/34690203")</f>
        <v>https://my.zakupki.prom.ua/remote/dispatcher/state_purchase_view/34690203</v>
      </c>
      <c r="C413" s="1" t="s">
        <v>1178</v>
      </c>
      <c r="D413" s="1" t="s">
        <v>1177</v>
      </c>
      <c r="E413" s="4">
        <v>1</v>
      </c>
      <c r="F413" s="5">
        <v>14772</v>
      </c>
      <c r="G413" s="1" t="s">
        <v>4940</v>
      </c>
      <c r="H413" s="1" t="s">
        <v>338</v>
      </c>
      <c r="I413" s="1" t="s">
        <v>2877</v>
      </c>
      <c r="J413" s="5">
        <v>14772</v>
      </c>
      <c r="K413" s="1" t="s">
        <v>3394</v>
      </c>
      <c r="L413" s="5">
        <v>250</v>
      </c>
      <c r="M413" s="1" t="s">
        <v>2308</v>
      </c>
      <c r="N413" s="1" t="s">
        <v>3983</v>
      </c>
      <c r="O413" s="1" t="s">
        <v>2521</v>
      </c>
      <c r="P413" s="1" t="s">
        <v>3956</v>
      </c>
      <c r="Q413" s="1" t="s">
        <v>3035</v>
      </c>
      <c r="R413" s="1" t="s">
        <v>4346</v>
      </c>
      <c r="S413" s="1" t="s">
        <v>4937</v>
      </c>
      <c r="T413" s="6">
        <v>44593</v>
      </c>
      <c r="U413" s="6">
        <v>44599</v>
      </c>
      <c r="V413" s="7">
        <v>0.55555555555555558</v>
      </c>
      <c r="W413" s="6">
        <v>44602</v>
      </c>
      <c r="X413" s="7">
        <v>0.55555555555555558</v>
      </c>
      <c r="Y413" s="1" t="s">
        <v>4860</v>
      </c>
      <c r="Z413" s="5">
        <v>17</v>
      </c>
      <c r="AA413" s="1" t="s">
        <v>3403</v>
      </c>
      <c r="AB413" s="1"/>
      <c r="AC413" s="1"/>
      <c r="AD413" s="1"/>
      <c r="AE413" s="1" t="s">
        <v>3754</v>
      </c>
      <c r="AF413" s="1" t="s">
        <v>9</v>
      </c>
      <c r="AG413" s="4">
        <v>18</v>
      </c>
      <c r="AH413" s="6">
        <v>44606</v>
      </c>
      <c r="AI413" s="6">
        <v>44611</v>
      </c>
    </row>
    <row r="414" spans="1:35" x14ac:dyDescent="0.3">
      <c r="A414" s="1" t="s">
        <v>2120</v>
      </c>
      <c r="B414" s="2" t="str">
        <f>HYPERLINK("https://my.zakupki.prom.ua/remote/dispatcher/state_purchase_view/34690182")</f>
        <v>https://my.zakupki.prom.ua/remote/dispatcher/state_purchase_view/34690182</v>
      </c>
      <c r="C414" s="1" t="s">
        <v>3996</v>
      </c>
      <c r="D414" s="1" t="s">
        <v>1177</v>
      </c>
      <c r="E414" s="4">
        <v>1</v>
      </c>
      <c r="F414" s="5">
        <v>63570</v>
      </c>
      <c r="G414" s="1" t="s">
        <v>4940</v>
      </c>
      <c r="H414" s="1" t="s">
        <v>412</v>
      </c>
      <c r="I414" s="1" t="s">
        <v>3399</v>
      </c>
      <c r="J414" s="5">
        <v>63570</v>
      </c>
      <c r="K414" s="1" t="s">
        <v>3394</v>
      </c>
      <c r="L414" s="5">
        <v>317.85000000000002</v>
      </c>
      <c r="M414" s="1" t="s">
        <v>2308</v>
      </c>
      <c r="N414" s="1" t="s">
        <v>3983</v>
      </c>
      <c r="O414" s="1" t="s">
        <v>2521</v>
      </c>
      <c r="P414" s="1" t="s">
        <v>3956</v>
      </c>
      <c r="Q414" s="1" t="s">
        <v>3504</v>
      </c>
      <c r="R414" s="1" t="s">
        <v>4541</v>
      </c>
      <c r="S414" s="1" t="s">
        <v>4937</v>
      </c>
      <c r="T414" s="6">
        <v>44593</v>
      </c>
      <c r="U414" s="6">
        <v>44600</v>
      </c>
      <c r="V414" s="7">
        <v>0.55555555555555558</v>
      </c>
      <c r="W414" s="6">
        <v>44603</v>
      </c>
      <c r="X414" s="7">
        <v>0.55208333333333337</v>
      </c>
      <c r="Y414" s="1" t="s">
        <v>4860</v>
      </c>
      <c r="Z414" s="5">
        <v>340</v>
      </c>
      <c r="AA414" s="1" t="s">
        <v>3403</v>
      </c>
      <c r="AB414" s="1"/>
      <c r="AC414" s="1"/>
      <c r="AD414" s="1"/>
      <c r="AE414" s="1" t="s">
        <v>3728</v>
      </c>
      <c r="AF414" s="1" t="s">
        <v>9</v>
      </c>
      <c r="AG414" s="4">
        <v>1</v>
      </c>
      <c r="AH414" s="1"/>
      <c r="AI414" s="6">
        <v>44926</v>
      </c>
    </row>
    <row r="415" spans="1:35" x14ac:dyDescent="0.3">
      <c r="A415" s="1" t="s">
        <v>2119</v>
      </c>
      <c r="B415" s="2" t="str">
        <f>HYPERLINK("https://my.zakupki.prom.ua/remote/dispatcher/state_purchase_view/34690178")</f>
        <v>https://my.zakupki.prom.ua/remote/dispatcher/state_purchase_view/34690178</v>
      </c>
      <c r="C415" s="1" t="s">
        <v>828</v>
      </c>
      <c r="D415" s="1" t="s">
        <v>829</v>
      </c>
      <c r="E415" s="1" t="s">
        <v>4903</v>
      </c>
      <c r="F415" s="1" t="s">
        <v>4903</v>
      </c>
      <c r="G415" s="1" t="s">
        <v>4903</v>
      </c>
      <c r="H415" s="1" t="s">
        <v>820</v>
      </c>
      <c r="I415" s="1" t="s">
        <v>390</v>
      </c>
      <c r="J415" s="5">
        <v>25000</v>
      </c>
      <c r="K415" s="1" t="s">
        <v>3394</v>
      </c>
      <c r="L415" s="5">
        <v>250</v>
      </c>
      <c r="M415" s="1" t="s">
        <v>2308</v>
      </c>
      <c r="N415" s="1" t="s">
        <v>3983</v>
      </c>
      <c r="O415" s="1" t="s">
        <v>2521</v>
      </c>
      <c r="P415" s="1" t="s">
        <v>3956</v>
      </c>
      <c r="Q415" s="1" t="s">
        <v>2796</v>
      </c>
      <c r="R415" s="1" t="s">
        <v>4150</v>
      </c>
      <c r="S415" s="1" t="s">
        <v>4937</v>
      </c>
      <c r="T415" s="6">
        <v>44593</v>
      </c>
      <c r="U415" s="6">
        <v>44599</v>
      </c>
      <c r="V415" s="7">
        <v>0.41666666666666669</v>
      </c>
      <c r="W415" s="6">
        <v>44602</v>
      </c>
      <c r="X415" s="7">
        <v>0.41666666666666669</v>
      </c>
      <c r="Y415" s="1" t="s">
        <v>4860</v>
      </c>
      <c r="Z415" s="5">
        <v>119</v>
      </c>
      <c r="AA415" s="1" t="s">
        <v>3403</v>
      </c>
      <c r="AB415" s="1"/>
      <c r="AC415" s="1"/>
      <c r="AD415" s="1"/>
      <c r="AE415" s="1" t="s">
        <v>3767</v>
      </c>
      <c r="AF415" s="1" t="s">
        <v>9</v>
      </c>
      <c r="AG415" s="4">
        <v>4</v>
      </c>
      <c r="AH415" s="1"/>
      <c r="AI415" s="6">
        <v>44926</v>
      </c>
    </row>
    <row r="416" spans="1:35" x14ac:dyDescent="0.3">
      <c r="A416" s="1" t="s">
        <v>2118</v>
      </c>
      <c r="B416" s="2" t="str">
        <f>HYPERLINK("https://my.zakupki.prom.ua/remote/dispatcher/state_purchase_view/34690168")</f>
        <v>https://my.zakupki.prom.ua/remote/dispatcher/state_purchase_view/34690168</v>
      </c>
      <c r="C416" s="1" t="s">
        <v>3662</v>
      </c>
      <c r="D416" s="1" t="s">
        <v>701</v>
      </c>
      <c r="E416" s="4">
        <v>8</v>
      </c>
      <c r="F416" s="5">
        <v>16862.5</v>
      </c>
      <c r="G416" s="1" t="s">
        <v>4991</v>
      </c>
      <c r="H416" s="1" t="s">
        <v>1083</v>
      </c>
      <c r="I416" s="1" t="s">
        <v>2456</v>
      </c>
      <c r="J416" s="5">
        <v>134900</v>
      </c>
      <c r="K416" s="1" t="s">
        <v>3394</v>
      </c>
      <c r="L416" s="5">
        <v>674.5</v>
      </c>
      <c r="M416" s="1" t="s">
        <v>2308</v>
      </c>
      <c r="N416" s="1" t="s">
        <v>3983</v>
      </c>
      <c r="O416" s="1" t="s">
        <v>2521</v>
      </c>
      <c r="P416" s="1" t="s">
        <v>3956</v>
      </c>
      <c r="Q416" s="1" t="s">
        <v>3504</v>
      </c>
      <c r="R416" s="1" t="s">
        <v>4436</v>
      </c>
      <c r="S416" s="1" t="s">
        <v>4937</v>
      </c>
      <c r="T416" s="6">
        <v>44593</v>
      </c>
      <c r="U416" s="6">
        <v>44599</v>
      </c>
      <c r="V416" s="7">
        <v>0.55277777777777781</v>
      </c>
      <c r="W416" s="6">
        <v>44602</v>
      </c>
      <c r="X416" s="7">
        <v>0</v>
      </c>
      <c r="Y416" s="1" t="s">
        <v>4860</v>
      </c>
      <c r="Z416" s="5">
        <v>340</v>
      </c>
      <c r="AA416" s="1" t="s">
        <v>3403</v>
      </c>
      <c r="AB416" s="1"/>
      <c r="AC416" s="1"/>
      <c r="AD416" s="1"/>
      <c r="AE416" s="1" t="s">
        <v>3788</v>
      </c>
      <c r="AF416" s="1" t="s">
        <v>9</v>
      </c>
      <c r="AG416" s="4">
        <v>2</v>
      </c>
      <c r="AH416" s="1"/>
      <c r="AI416" s="6">
        <v>44620</v>
      </c>
    </row>
    <row r="417" spans="1:35" x14ac:dyDescent="0.3">
      <c r="A417" s="1" t="s">
        <v>2117</v>
      </c>
      <c r="B417" s="2" t="str">
        <f>HYPERLINK("https://my.zakupki.prom.ua/remote/dispatcher/state_purchase_view/34690138")</f>
        <v>https://my.zakupki.prom.ua/remote/dispatcher/state_purchase_view/34690138</v>
      </c>
      <c r="C417" s="1" t="s">
        <v>3503</v>
      </c>
      <c r="D417" s="1" t="s">
        <v>811</v>
      </c>
      <c r="E417" s="4">
        <v>8400</v>
      </c>
      <c r="F417" s="5">
        <v>11.31</v>
      </c>
      <c r="G417" s="1" t="s">
        <v>4991</v>
      </c>
      <c r="H417" s="1" t="s">
        <v>1001</v>
      </c>
      <c r="I417" s="1" t="s">
        <v>3149</v>
      </c>
      <c r="J417" s="5">
        <v>95000</v>
      </c>
      <c r="K417" s="1" t="s">
        <v>3394</v>
      </c>
      <c r="L417" s="5">
        <v>475</v>
      </c>
      <c r="M417" s="1" t="s">
        <v>2308</v>
      </c>
      <c r="N417" s="1" t="s">
        <v>3983</v>
      </c>
      <c r="O417" s="1" t="s">
        <v>2521</v>
      </c>
      <c r="P417" s="1" t="s">
        <v>3956</v>
      </c>
      <c r="Q417" s="1" t="s">
        <v>3504</v>
      </c>
      <c r="R417" s="1" t="s">
        <v>4342</v>
      </c>
      <c r="S417" s="1" t="s">
        <v>4937</v>
      </c>
      <c r="T417" s="6">
        <v>44593</v>
      </c>
      <c r="U417" s="6">
        <v>44599</v>
      </c>
      <c r="V417" s="7">
        <v>0.55486111111111114</v>
      </c>
      <c r="W417" s="6">
        <v>44602</v>
      </c>
      <c r="X417" s="7">
        <v>0.55486111111111114</v>
      </c>
      <c r="Y417" s="1" t="s">
        <v>4860</v>
      </c>
      <c r="Z417" s="5">
        <v>340</v>
      </c>
      <c r="AA417" s="1" t="s">
        <v>3403</v>
      </c>
      <c r="AB417" s="1"/>
      <c r="AC417" s="1"/>
      <c r="AD417" s="1"/>
      <c r="AE417" s="1" t="s">
        <v>3712</v>
      </c>
      <c r="AF417" s="1" t="s">
        <v>9</v>
      </c>
      <c r="AG417" s="4">
        <v>2</v>
      </c>
      <c r="AH417" s="6">
        <v>44606</v>
      </c>
      <c r="AI417" s="6">
        <v>44926</v>
      </c>
    </row>
    <row r="418" spans="1:35" x14ac:dyDescent="0.3">
      <c r="A418" s="1" t="s">
        <v>2116</v>
      </c>
      <c r="B418" s="2" t="str">
        <f>HYPERLINK("https://my.zakupki.prom.ua/remote/dispatcher/state_purchase_view/34690135")</f>
        <v>https://my.zakupki.prom.ua/remote/dispatcher/state_purchase_view/34690135</v>
      </c>
      <c r="C418" s="1" t="s">
        <v>375</v>
      </c>
      <c r="D418" s="1" t="s">
        <v>373</v>
      </c>
      <c r="E418" s="1" t="s">
        <v>4903</v>
      </c>
      <c r="F418" s="1" t="s">
        <v>4903</v>
      </c>
      <c r="G418" s="1" t="s">
        <v>4903</v>
      </c>
      <c r="H418" s="1" t="s">
        <v>232</v>
      </c>
      <c r="I418" s="1" t="s">
        <v>2921</v>
      </c>
      <c r="J418" s="5">
        <v>3271000</v>
      </c>
      <c r="K418" s="1" t="s">
        <v>3394</v>
      </c>
      <c r="L418" s="5">
        <v>32710</v>
      </c>
      <c r="M418" s="1" t="s">
        <v>2308</v>
      </c>
      <c r="N418" s="1" t="s">
        <v>3983</v>
      </c>
      <c r="O418" s="1" t="s">
        <v>1300</v>
      </c>
      <c r="P418" s="1" t="s">
        <v>2516</v>
      </c>
      <c r="Q418" s="1" t="s">
        <v>2820</v>
      </c>
      <c r="R418" s="1" t="s">
        <v>4398</v>
      </c>
      <c r="S418" s="1" t="s">
        <v>4971</v>
      </c>
      <c r="T418" s="6">
        <v>44593</v>
      </c>
      <c r="U418" s="6">
        <v>44593</v>
      </c>
      <c r="V418" s="7">
        <v>0.55583446724537044</v>
      </c>
      <c r="W418" s="6">
        <v>44624</v>
      </c>
      <c r="X418" s="7">
        <v>0.54722222222222228</v>
      </c>
      <c r="Y418" s="8">
        <v>44662.493333333332</v>
      </c>
      <c r="Z418" s="5">
        <v>1700</v>
      </c>
      <c r="AA418" s="1" t="s">
        <v>3403</v>
      </c>
      <c r="AB418" s="1"/>
      <c r="AC418" s="1"/>
      <c r="AD418" s="1"/>
      <c r="AE418" s="1" t="s">
        <v>3788</v>
      </c>
      <c r="AF418" s="1" t="s">
        <v>9</v>
      </c>
      <c r="AG418" s="4">
        <v>61</v>
      </c>
      <c r="AH418" s="1"/>
      <c r="AI418" s="6">
        <v>44926</v>
      </c>
    </row>
    <row r="419" spans="1:35" x14ac:dyDescent="0.3">
      <c r="A419" s="1" t="s">
        <v>2115</v>
      </c>
      <c r="B419" s="2" t="str">
        <f>HYPERLINK("https://my.zakupki.prom.ua/remote/dispatcher/state_purchase_view/34690133")</f>
        <v>https://my.zakupki.prom.ua/remote/dispatcher/state_purchase_view/34690133</v>
      </c>
      <c r="C419" s="1" t="s">
        <v>3524</v>
      </c>
      <c r="D419" s="1" t="s">
        <v>1293</v>
      </c>
      <c r="E419" s="4">
        <v>1</v>
      </c>
      <c r="F419" s="5">
        <v>700000</v>
      </c>
      <c r="G419" s="1" t="s">
        <v>4940</v>
      </c>
      <c r="H419" s="1" t="s">
        <v>604</v>
      </c>
      <c r="I419" s="1" t="s">
        <v>3192</v>
      </c>
      <c r="J419" s="5">
        <v>700000</v>
      </c>
      <c r="K419" s="1" t="s">
        <v>3394</v>
      </c>
      <c r="L419" s="5">
        <v>7000</v>
      </c>
      <c r="M419" s="1" t="s">
        <v>2308</v>
      </c>
      <c r="N419" s="1" t="s">
        <v>3983</v>
      </c>
      <c r="O419" s="1" t="s">
        <v>2521</v>
      </c>
      <c r="P419" s="1" t="s">
        <v>2515</v>
      </c>
      <c r="Q419" s="1" t="s">
        <v>3035</v>
      </c>
      <c r="R419" s="1" t="s">
        <v>4081</v>
      </c>
      <c r="S419" s="1" t="s">
        <v>4971</v>
      </c>
      <c r="T419" s="6">
        <v>44593</v>
      </c>
      <c r="U419" s="6">
        <v>44593</v>
      </c>
      <c r="V419" s="7">
        <v>0.55582431458333337</v>
      </c>
      <c r="W419" s="6">
        <v>44610</v>
      </c>
      <c r="X419" s="7">
        <v>0.45833333333333331</v>
      </c>
      <c r="Y419" s="8">
        <v>44613.657708333332</v>
      </c>
      <c r="Z419" s="5">
        <v>510</v>
      </c>
      <c r="AA419" s="1" t="s">
        <v>3403</v>
      </c>
      <c r="AB419" s="1"/>
      <c r="AC419" s="1"/>
      <c r="AD419" s="1"/>
      <c r="AE419" s="1" t="s">
        <v>3727</v>
      </c>
      <c r="AF419" s="1" t="s">
        <v>9</v>
      </c>
      <c r="AG419" s="4">
        <v>41</v>
      </c>
      <c r="AH419" s="1"/>
      <c r="AI419" s="6">
        <v>44926</v>
      </c>
    </row>
    <row r="420" spans="1:35" x14ac:dyDescent="0.3">
      <c r="A420" s="1" t="s">
        <v>2114</v>
      </c>
      <c r="B420" s="2" t="str">
        <f>HYPERLINK("https://my.zakupki.prom.ua/remote/dispatcher/state_purchase_view/34690124")</f>
        <v>https://my.zakupki.prom.ua/remote/dispatcher/state_purchase_view/34690124</v>
      </c>
      <c r="C420" s="1" t="s">
        <v>3994</v>
      </c>
      <c r="D420" s="1" t="s">
        <v>758</v>
      </c>
      <c r="E420" s="4">
        <v>20</v>
      </c>
      <c r="F420" s="5">
        <v>415</v>
      </c>
      <c r="G420" s="1" t="s">
        <v>4985</v>
      </c>
      <c r="H420" s="1" t="s">
        <v>100</v>
      </c>
      <c r="I420" s="1" t="s">
        <v>3110</v>
      </c>
      <c r="J420" s="5">
        <v>8300</v>
      </c>
      <c r="K420" s="1" t="s">
        <v>3394</v>
      </c>
      <c r="L420" s="5">
        <v>41.5</v>
      </c>
      <c r="M420" s="1" t="s">
        <v>2308</v>
      </c>
      <c r="N420" s="1" t="s">
        <v>3403</v>
      </c>
      <c r="O420" s="1" t="s">
        <v>2521</v>
      </c>
      <c r="P420" s="1" t="s">
        <v>3956</v>
      </c>
      <c r="Q420" s="1" t="s">
        <v>3970</v>
      </c>
      <c r="R420" s="1" t="s">
        <v>4335</v>
      </c>
      <c r="S420" s="1" t="s">
        <v>4937</v>
      </c>
      <c r="T420" s="6">
        <v>44593</v>
      </c>
      <c r="U420" s="6">
        <v>44599</v>
      </c>
      <c r="V420" s="7">
        <v>0</v>
      </c>
      <c r="W420" s="6">
        <v>44602</v>
      </c>
      <c r="X420" s="7">
        <v>0</v>
      </c>
      <c r="Y420" s="1" t="s">
        <v>4860</v>
      </c>
      <c r="Z420" s="5">
        <v>17</v>
      </c>
      <c r="AA420" s="1" t="s">
        <v>3403</v>
      </c>
      <c r="AB420" s="1"/>
      <c r="AC420" s="1"/>
      <c r="AD420" s="1"/>
      <c r="AE420" s="1" t="s">
        <v>3779</v>
      </c>
      <c r="AF420" s="1" t="s">
        <v>9</v>
      </c>
      <c r="AG420" s="4">
        <v>1</v>
      </c>
      <c r="AH420" s="1"/>
      <c r="AI420" s="6">
        <v>44651</v>
      </c>
    </row>
    <row r="421" spans="1:35" x14ac:dyDescent="0.3">
      <c r="A421" s="1" t="s">
        <v>2113</v>
      </c>
      <c r="B421" s="2" t="str">
        <f>HYPERLINK("https://my.zakupki.prom.ua/remote/dispatcher/state_purchase_view/34689934")</f>
        <v>https://my.zakupki.prom.ua/remote/dispatcher/state_purchase_view/34689934</v>
      </c>
      <c r="C421" s="1" t="s">
        <v>3492</v>
      </c>
      <c r="D421" s="1" t="s">
        <v>498</v>
      </c>
      <c r="E421" s="1" t="s">
        <v>4903</v>
      </c>
      <c r="F421" s="1" t="s">
        <v>4903</v>
      </c>
      <c r="G421" s="1" t="s">
        <v>4903</v>
      </c>
      <c r="H421" s="1" t="s">
        <v>199</v>
      </c>
      <c r="I421" s="1" t="s">
        <v>2858</v>
      </c>
      <c r="J421" s="5">
        <v>65100</v>
      </c>
      <c r="K421" s="1" t="s">
        <v>3394</v>
      </c>
      <c r="L421" s="5">
        <v>651</v>
      </c>
      <c r="M421" s="1" t="s">
        <v>2308</v>
      </c>
      <c r="N421" s="1" t="s">
        <v>3983</v>
      </c>
      <c r="O421" s="1" t="s">
        <v>2521</v>
      </c>
      <c r="P421" s="1" t="s">
        <v>3956</v>
      </c>
      <c r="Q421" s="1" t="s">
        <v>2761</v>
      </c>
      <c r="R421" s="1" t="s">
        <v>4591</v>
      </c>
      <c r="S421" s="1" t="s">
        <v>4937</v>
      </c>
      <c r="T421" s="6">
        <v>44593</v>
      </c>
      <c r="U421" s="6">
        <v>44600</v>
      </c>
      <c r="V421" s="7">
        <v>0.5</v>
      </c>
      <c r="W421" s="6">
        <v>44603</v>
      </c>
      <c r="X421" s="7">
        <v>0.99930555555555556</v>
      </c>
      <c r="Y421" s="1" t="s">
        <v>4860</v>
      </c>
      <c r="Z421" s="5">
        <v>340</v>
      </c>
      <c r="AA421" s="1" t="s">
        <v>3403</v>
      </c>
      <c r="AB421" s="1"/>
      <c r="AC421" s="1"/>
      <c r="AD421" s="1"/>
      <c r="AE421" s="1" t="s">
        <v>3788</v>
      </c>
      <c r="AF421" s="1" t="s">
        <v>9</v>
      </c>
      <c r="AG421" s="4">
        <v>16</v>
      </c>
      <c r="AH421" s="1"/>
      <c r="AI421" s="6">
        <v>44926</v>
      </c>
    </row>
    <row r="422" spans="1:35" x14ac:dyDescent="0.3">
      <c r="A422" s="1" t="s">
        <v>1700</v>
      </c>
      <c r="B422" s="2" t="str">
        <f>HYPERLINK("https://my.zakupki.prom.ua/remote/dispatcher/state_purchase_view/34689921")</f>
        <v>https://my.zakupki.prom.ua/remote/dispatcher/state_purchase_view/34689921</v>
      </c>
      <c r="C422" s="1" t="s">
        <v>2328</v>
      </c>
      <c r="D422" s="1" t="s">
        <v>1263</v>
      </c>
      <c r="E422" s="4">
        <v>4614</v>
      </c>
      <c r="F422" s="5">
        <v>325.16000000000003</v>
      </c>
      <c r="G422" s="1" t="s">
        <v>4940</v>
      </c>
      <c r="H422" s="1" t="s">
        <v>986</v>
      </c>
      <c r="I422" s="1" t="s">
        <v>2730</v>
      </c>
      <c r="J422" s="5">
        <v>1500278.49</v>
      </c>
      <c r="K422" s="1" t="s">
        <v>3394</v>
      </c>
      <c r="L422" s="5">
        <v>7501.39</v>
      </c>
      <c r="M422" s="1" t="s">
        <v>2308</v>
      </c>
      <c r="N422" s="1" t="s">
        <v>3983</v>
      </c>
      <c r="O422" s="1" t="s">
        <v>2521</v>
      </c>
      <c r="P422" s="1" t="s">
        <v>2516</v>
      </c>
      <c r="Q422" s="1" t="s">
        <v>4911</v>
      </c>
      <c r="R422" s="1" t="s">
        <v>4081</v>
      </c>
      <c r="S422" s="1" t="s">
        <v>4971</v>
      </c>
      <c r="T422" s="6">
        <v>44593</v>
      </c>
      <c r="U422" s="6">
        <v>44593</v>
      </c>
      <c r="V422" s="7">
        <v>0.55238280479166668</v>
      </c>
      <c r="W422" s="6">
        <v>44624</v>
      </c>
      <c r="X422" s="7">
        <v>0</v>
      </c>
      <c r="Y422" s="8">
        <v>44659.518171296295</v>
      </c>
      <c r="Z422" s="5">
        <v>1700</v>
      </c>
      <c r="AA422" s="1" t="s">
        <v>3403</v>
      </c>
      <c r="AB422" s="1"/>
      <c r="AC422" s="1"/>
      <c r="AD422" s="1"/>
      <c r="AE422" s="1" t="s">
        <v>3754</v>
      </c>
      <c r="AF422" s="1" t="s">
        <v>9</v>
      </c>
      <c r="AG422" s="4">
        <v>28</v>
      </c>
      <c r="AH422" s="1"/>
      <c r="AI422" s="6">
        <v>44926</v>
      </c>
    </row>
    <row r="423" spans="1:35" x14ac:dyDescent="0.3">
      <c r="A423" s="1" t="s">
        <v>2105</v>
      </c>
      <c r="B423" s="2" t="str">
        <f>HYPERLINK("https://my.zakupki.prom.ua/remote/dispatcher/state_purchase_view/34689889")</f>
        <v>https://my.zakupki.prom.ua/remote/dispatcher/state_purchase_view/34689889</v>
      </c>
      <c r="C423" s="1" t="s">
        <v>3691</v>
      </c>
      <c r="D423" s="1" t="s">
        <v>1120</v>
      </c>
      <c r="E423" s="1" t="s">
        <v>4903</v>
      </c>
      <c r="F423" s="1" t="s">
        <v>4903</v>
      </c>
      <c r="G423" s="1" t="s">
        <v>4903</v>
      </c>
      <c r="H423" s="1" t="s">
        <v>711</v>
      </c>
      <c r="I423" s="1" t="s">
        <v>3185</v>
      </c>
      <c r="J423" s="5">
        <v>2170000</v>
      </c>
      <c r="K423" s="1" t="s">
        <v>3394</v>
      </c>
      <c r="L423" s="5">
        <v>21700</v>
      </c>
      <c r="M423" s="1" t="s">
        <v>2308</v>
      </c>
      <c r="N423" s="1" t="s">
        <v>3983</v>
      </c>
      <c r="O423" s="1" t="s">
        <v>2521</v>
      </c>
      <c r="P423" s="1" t="s">
        <v>2515</v>
      </c>
      <c r="Q423" s="1" t="s">
        <v>2756</v>
      </c>
      <c r="R423" s="1" t="s">
        <v>4640</v>
      </c>
      <c r="S423" s="1" t="s">
        <v>4971</v>
      </c>
      <c r="T423" s="6">
        <v>44593</v>
      </c>
      <c r="U423" s="6">
        <v>44593</v>
      </c>
      <c r="V423" s="7">
        <v>0.55317129629629624</v>
      </c>
      <c r="W423" s="6">
        <v>44610</v>
      </c>
      <c r="X423" s="7">
        <v>0.41666666666666669</v>
      </c>
      <c r="Y423" s="8">
        <v>44613.641134259262</v>
      </c>
      <c r="Z423" s="5">
        <v>1700</v>
      </c>
      <c r="AA423" s="1" t="s">
        <v>3403</v>
      </c>
      <c r="AB423" s="1"/>
      <c r="AC423" s="1"/>
      <c r="AD423" s="1"/>
      <c r="AE423" s="1" t="s">
        <v>3787</v>
      </c>
      <c r="AF423" s="1" t="s">
        <v>9</v>
      </c>
      <c r="AG423" s="4">
        <v>17</v>
      </c>
      <c r="AH423" s="1"/>
      <c r="AI423" s="6">
        <v>44926</v>
      </c>
    </row>
    <row r="424" spans="1:35" x14ac:dyDescent="0.3">
      <c r="A424" s="1" t="s">
        <v>1707</v>
      </c>
      <c r="B424" s="2" t="str">
        <f>HYPERLINK("https://my.zakupki.prom.ua/remote/dispatcher/state_purchase_view/34689879")</f>
        <v>https://my.zakupki.prom.ua/remote/dispatcher/state_purchase_view/34689879</v>
      </c>
      <c r="C424" s="1" t="s">
        <v>3346</v>
      </c>
      <c r="D424" s="1" t="s">
        <v>454</v>
      </c>
      <c r="E424" s="4">
        <v>1800</v>
      </c>
      <c r="F424" s="5">
        <v>91</v>
      </c>
      <c r="G424" s="1" t="s">
        <v>4902</v>
      </c>
      <c r="H424" s="1" t="s">
        <v>171</v>
      </c>
      <c r="I424" s="1" t="s">
        <v>3086</v>
      </c>
      <c r="J424" s="5">
        <v>163800</v>
      </c>
      <c r="K424" s="1" t="s">
        <v>3394</v>
      </c>
      <c r="L424" s="5">
        <v>819</v>
      </c>
      <c r="M424" s="1" t="s">
        <v>2308</v>
      </c>
      <c r="N424" s="1" t="s">
        <v>3983</v>
      </c>
      <c r="O424" s="1" t="s">
        <v>2521</v>
      </c>
      <c r="P424" s="1" t="s">
        <v>3956</v>
      </c>
      <c r="Q424" s="1" t="s">
        <v>2334</v>
      </c>
      <c r="R424" s="1" t="s">
        <v>4066</v>
      </c>
      <c r="S424" s="1" t="s">
        <v>4937</v>
      </c>
      <c r="T424" s="6">
        <v>44593</v>
      </c>
      <c r="U424" s="6">
        <v>44599</v>
      </c>
      <c r="V424" s="7">
        <v>0</v>
      </c>
      <c r="W424" s="6">
        <v>44602</v>
      </c>
      <c r="X424" s="7">
        <v>0</v>
      </c>
      <c r="Y424" s="1" t="s">
        <v>4860</v>
      </c>
      <c r="Z424" s="5">
        <v>340</v>
      </c>
      <c r="AA424" s="1" t="s">
        <v>3403</v>
      </c>
      <c r="AB424" s="1"/>
      <c r="AC424" s="1"/>
      <c r="AD424" s="1"/>
      <c r="AE424" s="1" t="s">
        <v>3796</v>
      </c>
      <c r="AF424" s="1" t="s">
        <v>9</v>
      </c>
      <c r="AG424" s="4">
        <v>1</v>
      </c>
      <c r="AH424" s="1"/>
      <c r="AI424" s="6">
        <v>44926</v>
      </c>
    </row>
    <row r="425" spans="1:35" x14ac:dyDescent="0.3">
      <c r="A425" s="1" t="s">
        <v>1690</v>
      </c>
      <c r="B425" s="2" t="str">
        <f>HYPERLINK("https://my.zakupki.prom.ua/remote/dispatcher/state_purchase_lot_view/740741")</f>
        <v>https://my.zakupki.prom.ua/remote/dispatcher/state_purchase_lot_view/740741</v>
      </c>
      <c r="C425" s="1" t="s">
        <v>3314</v>
      </c>
      <c r="D425" s="1" t="s">
        <v>780</v>
      </c>
      <c r="E425" s="4">
        <v>568</v>
      </c>
      <c r="F425" s="5">
        <v>496.14</v>
      </c>
      <c r="G425" s="1" t="s">
        <v>4991</v>
      </c>
      <c r="H425" s="1" t="s">
        <v>88</v>
      </c>
      <c r="I425" s="1" t="s">
        <v>3207</v>
      </c>
      <c r="J425" s="5">
        <v>472009.5</v>
      </c>
      <c r="K425" s="5">
        <v>281809.5</v>
      </c>
      <c r="L425" s="5">
        <v>2819</v>
      </c>
      <c r="M425" s="1" t="s">
        <v>2308</v>
      </c>
      <c r="N425" s="1" t="s">
        <v>3983</v>
      </c>
      <c r="O425" s="1" t="s">
        <v>2521</v>
      </c>
      <c r="P425" s="1" t="s">
        <v>2515</v>
      </c>
      <c r="Q425" s="1" t="s">
        <v>3035</v>
      </c>
      <c r="R425" s="1" t="s">
        <v>4385</v>
      </c>
      <c r="S425" s="1" t="s">
        <v>4971</v>
      </c>
      <c r="T425" s="6">
        <v>44593</v>
      </c>
      <c r="U425" s="6">
        <v>44593</v>
      </c>
      <c r="V425" s="7">
        <v>0.54883693313657411</v>
      </c>
      <c r="W425" s="6">
        <v>44609</v>
      </c>
      <c r="X425" s="7">
        <v>0</v>
      </c>
      <c r="Y425" s="8">
        <v>44609.474965277775</v>
      </c>
      <c r="Z425" s="5">
        <v>510</v>
      </c>
      <c r="AA425" s="1" t="s">
        <v>3403</v>
      </c>
      <c r="AB425" s="1"/>
      <c r="AC425" s="1"/>
      <c r="AD425" s="1"/>
      <c r="AE425" s="1" t="s">
        <v>3765</v>
      </c>
      <c r="AF425" s="1" t="s">
        <v>9</v>
      </c>
      <c r="AG425" s="1" t="s">
        <v>9</v>
      </c>
      <c r="AH425" s="1"/>
      <c r="AI425" s="6">
        <v>44926</v>
      </c>
    </row>
    <row r="426" spans="1:35" x14ac:dyDescent="0.3">
      <c r="A426" s="1" t="s">
        <v>1690</v>
      </c>
      <c r="B426" s="2" t="str">
        <f>HYPERLINK("https://my.zakupki.prom.ua/remote/dispatcher/state_purchase_lot_view/740742")</f>
        <v>https://my.zakupki.prom.ua/remote/dispatcher/state_purchase_lot_view/740742</v>
      </c>
      <c r="C426" s="1" t="s">
        <v>3315</v>
      </c>
      <c r="D426" s="1" t="s">
        <v>780</v>
      </c>
      <c r="E426" s="4">
        <v>2</v>
      </c>
      <c r="F426" s="5">
        <v>78150</v>
      </c>
      <c r="G426" s="1" t="s">
        <v>4991</v>
      </c>
      <c r="H426" s="1" t="s">
        <v>88</v>
      </c>
      <c r="I426" s="1" t="s">
        <v>3207</v>
      </c>
      <c r="J426" s="5">
        <v>472009.5</v>
      </c>
      <c r="K426" s="5">
        <v>156300</v>
      </c>
      <c r="L426" s="5">
        <v>1564</v>
      </c>
      <c r="M426" s="1" t="s">
        <v>2308</v>
      </c>
      <c r="N426" s="1" t="s">
        <v>3983</v>
      </c>
      <c r="O426" s="1" t="s">
        <v>2521</v>
      </c>
      <c r="P426" s="1" t="s">
        <v>2515</v>
      </c>
      <c r="Q426" s="1" t="s">
        <v>3035</v>
      </c>
      <c r="R426" s="1" t="s">
        <v>4385</v>
      </c>
      <c r="S426" s="1" t="s">
        <v>4971</v>
      </c>
      <c r="T426" s="6">
        <v>44593</v>
      </c>
      <c r="U426" s="6">
        <v>44593</v>
      </c>
      <c r="V426" s="7">
        <v>0.54883693313657411</v>
      </c>
      <c r="W426" s="6">
        <v>44609</v>
      </c>
      <c r="X426" s="7">
        <v>0</v>
      </c>
      <c r="Y426" s="8">
        <v>44609.484131944446</v>
      </c>
      <c r="Z426" s="5">
        <v>340</v>
      </c>
      <c r="AA426" s="1" t="s">
        <v>3403</v>
      </c>
      <c r="AB426" s="1"/>
      <c r="AC426" s="1"/>
      <c r="AD426" s="1"/>
      <c r="AE426" s="1" t="s">
        <v>3765</v>
      </c>
      <c r="AF426" s="1" t="s">
        <v>9</v>
      </c>
      <c r="AG426" s="1" t="s">
        <v>9</v>
      </c>
      <c r="AH426" s="1"/>
      <c r="AI426" s="6">
        <v>44926</v>
      </c>
    </row>
    <row r="427" spans="1:35" x14ac:dyDescent="0.3">
      <c r="A427" s="1" t="s">
        <v>1690</v>
      </c>
      <c r="B427" s="2" t="str">
        <f>HYPERLINK("https://my.zakupki.prom.ua/remote/dispatcher/state_purchase_lot_view/740743")</f>
        <v>https://my.zakupki.prom.ua/remote/dispatcher/state_purchase_lot_view/740743</v>
      </c>
      <c r="C427" s="1" t="s">
        <v>3316</v>
      </c>
      <c r="D427" s="1" t="s">
        <v>780</v>
      </c>
      <c r="E427" s="4">
        <v>10020</v>
      </c>
      <c r="F427" s="5">
        <v>3.38</v>
      </c>
      <c r="G427" s="1" t="s">
        <v>4991</v>
      </c>
      <c r="H427" s="1" t="s">
        <v>88</v>
      </c>
      <c r="I427" s="1" t="s">
        <v>3207</v>
      </c>
      <c r="J427" s="5">
        <v>472009.5</v>
      </c>
      <c r="K427" s="5">
        <v>33900</v>
      </c>
      <c r="L427" s="5">
        <v>339</v>
      </c>
      <c r="M427" s="1" t="s">
        <v>2308</v>
      </c>
      <c r="N427" s="1" t="s">
        <v>3983</v>
      </c>
      <c r="O427" s="1" t="s">
        <v>2521</v>
      </c>
      <c r="P427" s="1" t="s">
        <v>2515</v>
      </c>
      <c r="Q427" s="1" t="s">
        <v>3035</v>
      </c>
      <c r="R427" s="1" t="s">
        <v>4385</v>
      </c>
      <c r="S427" s="1" t="s">
        <v>4971</v>
      </c>
      <c r="T427" s="6">
        <v>44593</v>
      </c>
      <c r="U427" s="6">
        <v>44593</v>
      </c>
      <c r="V427" s="7">
        <v>0.54883693313657411</v>
      </c>
      <c r="W427" s="6">
        <v>44609</v>
      </c>
      <c r="X427" s="7">
        <v>0</v>
      </c>
      <c r="Y427" s="8">
        <v>44609.501689814817</v>
      </c>
      <c r="Z427" s="5">
        <v>119</v>
      </c>
      <c r="AA427" s="1" t="s">
        <v>3403</v>
      </c>
      <c r="AB427" s="1"/>
      <c r="AC427" s="1"/>
      <c r="AD427" s="1"/>
      <c r="AE427" s="1" t="s">
        <v>3765</v>
      </c>
      <c r="AF427" s="1" t="s">
        <v>9</v>
      </c>
      <c r="AG427" s="1" t="s">
        <v>9</v>
      </c>
      <c r="AH427" s="1"/>
      <c r="AI427" s="6">
        <v>44926</v>
      </c>
    </row>
    <row r="428" spans="1:35" x14ac:dyDescent="0.3">
      <c r="A428" s="1" t="s">
        <v>1704</v>
      </c>
      <c r="B428" s="2" t="str">
        <f>HYPERLINK("https://my.zakupki.prom.ua/remote/dispatcher/state_purchase_view/34689830")</f>
        <v>https://my.zakupki.prom.ua/remote/dispatcher/state_purchase_view/34689830</v>
      </c>
      <c r="C428" s="1" t="s">
        <v>3547</v>
      </c>
      <c r="D428" s="1" t="s">
        <v>1180</v>
      </c>
      <c r="E428" s="4">
        <v>1</v>
      </c>
      <c r="F428" s="5">
        <v>70000</v>
      </c>
      <c r="G428" s="1" t="s">
        <v>4940</v>
      </c>
      <c r="H428" s="1" t="s">
        <v>891</v>
      </c>
      <c r="I428" s="1" t="s">
        <v>4738</v>
      </c>
      <c r="J428" s="5">
        <v>70000</v>
      </c>
      <c r="K428" s="1" t="s">
        <v>3394</v>
      </c>
      <c r="L428" s="5">
        <v>350</v>
      </c>
      <c r="M428" s="1" t="s">
        <v>2308</v>
      </c>
      <c r="N428" s="1" t="s">
        <v>3983</v>
      </c>
      <c r="O428" s="1" t="s">
        <v>2521</v>
      </c>
      <c r="P428" s="1" t="s">
        <v>3956</v>
      </c>
      <c r="Q428" s="1" t="s">
        <v>3035</v>
      </c>
      <c r="R428" s="1" t="s">
        <v>4356</v>
      </c>
      <c r="S428" s="1" t="s">
        <v>4937</v>
      </c>
      <c r="T428" s="6">
        <v>44593</v>
      </c>
      <c r="U428" s="6">
        <v>44599</v>
      </c>
      <c r="V428" s="7">
        <v>0</v>
      </c>
      <c r="W428" s="6">
        <v>44602</v>
      </c>
      <c r="X428" s="7">
        <v>0</v>
      </c>
      <c r="Y428" s="1" t="s">
        <v>4860</v>
      </c>
      <c r="Z428" s="5">
        <v>340</v>
      </c>
      <c r="AA428" s="1" t="s">
        <v>3403</v>
      </c>
      <c r="AB428" s="1"/>
      <c r="AC428" s="1"/>
      <c r="AD428" s="1"/>
      <c r="AE428" s="1" t="s">
        <v>3758</v>
      </c>
      <c r="AF428" s="1" t="s">
        <v>9</v>
      </c>
      <c r="AG428" s="4">
        <v>203</v>
      </c>
      <c r="AH428" s="1"/>
      <c r="AI428" s="6">
        <v>44640</v>
      </c>
    </row>
    <row r="429" spans="1:35" x14ac:dyDescent="0.3">
      <c r="A429" s="1" t="s">
        <v>1691</v>
      </c>
      <c r="B429" s="2" t="str">
        <f>HYPERLINK("https://my.zakupki.prom.ua/remote/dispatcher/state_purchase_view/34689823")</f>
        <v>https://my.zakupki.prom.ua/remote/dispatcher/state_purchase_view/34689823</v>
      </c>
      <c r="C429" s="1" t="s">
        <v>4893</v>
      </c>
      <c r="D429" s="1" t="s">
        <v>1282</v>
      </c>
      <c r="E429" s="4">
        <v>289</v>
      </c>
      <c r="F429" s="5">
        <v>258.12</v>
      </c>
      <c r="G429" s="1" t="s">
        <v>4913</v>
      </c>
      <c r="H429" s="1" t="s">
        <v>1035</v>
      </c>
      <c r="I429" s="1" t="s">
        <v>4752</v>
      </c>
      <c r="J429" s="5">
        <v>74597</v>
      </c>
      <c r="K429" s="1" t="s">
        <v>3394</v>
      </c>
      <c r="L429" s="5">
        <v>373</v>
      </c>
      <c r="M429" s="1" t="s">
        <v>2308</v>
      </c>
      <c r="N429" s="1" t="s">
        <v>3983</v>
      </c>
      <c r="O429" s="1" t="s">
        <v>2521</v>
      </c>
      <c r="P429" s="1" t="s">
        <v>3956</v>
      </c>
      <c r="Q429" s="1" t="s">
        <v>2756</v>
      </c>
      <c r="R429" s="1" t="s">
        <v>4714</v>
      </c>
      <c r="S429" s="1" t="s">
        <v>4937</v>
      </c>
      <c r="T429" s="6">
        <v>44593</v>
      </c>
      <c r="U429" s="6">
        <v>44597</v>
      </c>
      <c r="V429" s="7">
        <v>0</v>
      </c>
      <c r="W429" s="6">
        <v>44601</v>
      </c>
      <c r="X429" s="7">
        <v>0</v>
      </c>
      <c r="Y429" s="1" t="s">
        <v>4860</v>
      </c>
      <c r="Z429" s="5">
        <v>340</v>
      </c>
      <c r="AA429" s="1" t="s">
        <v>3403</v>
      </c>
      <c r="AB429" s="1"/>
      <c r="AC429" s="1"/>
      <c r="AD429" s="1"/>
      <c r="AE429" s="1" t="s">
        <v>3719</v>
      </c>
      <c r="AF429" s="1" t="s">
        <v>9</v>
      </c>
      <c r="AG429" s="4">
        <v>8</v>
      </c>
      <c r="AH429" s="1"/>
      <c r="AI429" s="6">
        <v>44926</v>
      </c>
    </row>
    <row r="430" spans="1:35" x14ac:dyDescent="0.3">
      <c r="A430" s="1" t="s">
        <v>1697</v>
      </c>
      <c r="B430" s="2" t="str">
        <f>HYPERLINK("https://my.zakupki.prom.ua/remote/dispatcher/state_purchase_view/34689818")</f>
        <v>https://my.zakupki.prom.ua/remote/dispatcher/state_purchase_view/34689818</v>
      </c>
      <c r="C430" s="1" t="s">
        <v>4013</v>
      </c>
      <c r="D430" s="1" t="s">
        <v>1199</v>
      </c>
      <c r="E430" s="4">
        <v>1</v>
      </c>
      <c r="F430" s="5">
        <v>68400</v>
      </c>
      <c r="G430" s="1" t="s">
        <v>4940</v>
      </c>
      <c r="H430" s="1" t="s">
        <v>901</v>
      </c>
      <c r="I430" s="1" t="s">
        <v>3169</v>
      </c>
      <c r="J430" s="5">
        <v>68400</v>
      </c>
      <c r="K430" s="1" t="s">
        <v>3394</v>
      </c>
      <c r="L430" s="5">
        <v>342</v>
      </c>
      <c r="M430" s="1" t="s">
        <v>2308</v>
      </c>
      <c r="N430" s="1" t="s">
        <v>3983</v>
      </c>
      <c r="O430" s="1" t="s">
        <v>2521</v>
      </c>
      <c r="P430" s="1" t="s">
        <v>3956</v>
      </c>
      <c r="Q430" s="1" t="s">
        <v>2756</v>
      </c>
      <c r="R430" s="1" t="s">
        <v>4267</v>
      </c>
      <c r="S430" s="1" t="s">
        <v>4937</v>
      </c>
      <c r="T430" s="6">
        <v>44593</v>
      </c>
      <c r="U430" s="6">
        <v>44599</v>
      </c>
      <c r="V430" s="7">
        <v>0.85555555555555551</v>
      </c>
      <c r="W430" s="6">
        <v>44606</v>
      </c>
      <c r="X430" s="7">
        <v>0.43888888888888888</v>
      </c>
      <c r="Y430" s="1" t="s">
        <v>4860</v>
      </c>
      <c r="Z430" s="5">
        <v>340</v>
      </c>
      <c r="AA430" s="1" t="s">
        <v>3403</v>
      </c>
      <c r="AB430" s="1"/>
      <c r="AC430" s="1"/>
      <c r="AD430" s="1"/>
      <c r="AE430" s="1" t="s">
        <v>3727</v>
      </c>
      <c r="AF430" s="1" t="s">
        <v>9</v>
      </c>
      <c r="AG430" s="4">
        <v>1</v>
      </c>
      <c r="AH430" s="1"/>
      <c r="AI430" s="6">
        <v>44926</v>
      </c>
    </row>
    <row r="431" spans="1:35" x14ac:dyDescent="0.3">
      <c r="A431" s="1" t="s">
        <v>2101</v>
      </c>
      <c r="B431" s="2" t="str">
        <f>HYPERLINK("https://my.zakupki.prom.ua/remote/dispatcher/state_purchase_view/34689811")</f>
        <v>https://my.zakupki.prom.ua/remote/dispatcher/state_purchase_view/34689811</v>
      </c>
      <c r="C431" s="1" t="s">
        <v>3024</v>
      </c>
      <c r="D431" s="1" t="s">
        <v>208</v>
      </c>
      <c r="E431" s="1" t="s">
        <v>4903</v>
      </c>
      <c r="F431" s="1" t="s">
        <v>4903</v>
      </c>
      <c r="G431" s="1" t="s">
        <v>4903</v>
      </c>
      <c r="H431" s="1" t="s">
        <v>192</v>
      </c>
      <c r="I431" s="1" t="s">
        <v>2845</v>
      </c>
      <c r="J431" s="5">
        <v>426000</v>
      </c>
      <c r="K431" s="1" t="s">
        <v>3394</v>
      </c>
      <c r="L431" s="5">
        <v>2130</v>
      </c>
      <c r="M431" s="1" t="s">
        <v>2308</v>
      </c>
      <c r="N431" s="1" t="s">
        <v>3983</v>
      </c>
      <c r="O431" s="1" t="s">
        <v>2521</v>
      </c>
      <c r="P431" s="1" t="s">
        <v>2515</v>
      </c>
      <c r="Q431" s="1" t="s">
        <v>4798</v>
      </c>
      <c r="R431" s="1" t="s">
        <v>4217</v>
      </c>
      <c r="S431" s="1" t="s">
        <v>4971</v>
      </c>
      <c r="T431" s="6">
        <v>44593</v>
      </c>
      <c r="U431" s="6">
        <v>44593</v>
      </c>
      <c r="V431" s="7">
        <v>0.54946908804398142</v>
      </c>
      <c r="W431" s="6">
        <v>44609</v>
      </c>
      <c r="X431" s="7">
        <v>0.55291666666666661</v>
      </c>
      <c r="Y431" s="8">
        <v>44610.497384259259</v>
      </c>
      <c r="Z431" s="5">
        <v>510</v>
      </c>
      <c r="AA431" s="1" t="s">
        <v>3403</v>
      </c>
      <c r="AB431" s="1"/>
      <c r="AC431" s="1"/>
      <c r="AD431" s="1"/>
      <c r="AE431" s="1" t="s">
        <v>3767</v>
      </c>
      <c r="AF431" s="1" t="s">
        <v>9</v>
      </c>
      <c r="AG431" s="4">
        <v>2</v>
      </c>
      <c r="AH431" s="1"/>
      <c r="AI431" s="6">
        <v>44926</v>
      </c>
    </row>
    <row r="432" spans="1:35" x14ac:dyDescent="0.3">
      <c r="A432" s="1" t="s">
        <v>1695</v>
      </c>
      <c r="B432" s="2" t="str">
        <f>HYPERLINK("https://my.zakupki.prom.ua/remote/dispatcher/state_purchase_view/34689807")</f>
        <v>https://my.zakupki.prom.ua/remote/dispatcher/state_purchase_view/34689807</v>
      </c>
      <c r="C432" s="1" t="s">
        <v>3676</v>
      </c>
      <c r="D432" s="1" t="s">
        <v>966</v>
      </c>
      <c r="E432" s="1" t="s">
        <v>4903</v>
      </c>
      <c r="F432" s="1" t="s">
        <v>4903</v>
      </c>
      <c r="G432" s="1" t="s">
        <v>4903</v>
      </c>
      <c r="H432" s="1" t="s">
        <v>69</v>
      </c>
      <c r="I432" s="1" t="s">
        <v>3087</v>
      </c>
      <c r="J432" s="5">
        <v>72000</v>
      </c>
      <c r="K432" s="1" t="s">
        <v>3394</v>
      </c>
      <c r="L432" s="5">
        <v>360</v>
      </c>
      <c r="M432" s="1" t="s">
        <v>2308</v>
      </c>
      <c r="N432" s="1" t="s">
        <v>3983</v>
      </c>
      <c r="O432" s="1" t="s">
        <v>2521</v>
      </c>
      <c r="P432" s="1" t="s">
        <v>3956</v>
      </c>
      <c r="Q432" s="1" t="s">
        <v>2796</v>
      </c>
      <c r="R432" s="1" t="s">
        <v>4537</v>
      </c>
      <c r="S432" s="1" t="s">
        <v>4937</v>
      </c>
      <c r="T432" s="6">
        <v>44593</v>
      </c>
      <c r="U432" s="6">
        <v>44599</v>
      </c>
      <c r="V432" s="7">
        <v>0.625</v>
      </c>
      <c r="W432" s="6">
        <v>44602</v>
      </c>
      <c r="X432" s="7">
        <v>0.625</v>
      </c>
      <c r="Y432" s="1" t="s">
        <v>4860</v>
      </c>
      <c r="Z432" s="5">
        <v>340</v>
      </c>
      <c r="AA432" s="1" t="s">
        <v>3403</v>
      </c>
      <c r="AB432" s="1"/>
      <c r="AC432" s="1"/>
      <c r="AD432" s="1"/>
      <c r="AE432" s="1" t="s">
        <v>3767</v>
      </c>
      <c r="AF432" s="1" t="s">
        <v>9</v>
      </c>
      <c r="AG432" s="4">
        <v>7</v>
      </c>
      <c r="AH432" s="1"/>
      <c r="AI432" s="6">
        <v>44926</v>
      </c>
    </row>
    <row r="433" spans="1:35" x14ac:dyDescent="0.3">
      <c r="A433" s="1" t="s">
        <v>1679</v>
      </c>
      <c r="B433" s="2" t="str">
        <f>HYPERLINK("https://my.zakupki.prom.ua/remote/dispatcher/state_purchase_lot_view/740740")</f>
        <v>https://my.zakupki.prom.ua/remote/dispatcher/state_purchase_lot_view/740740</v>
      </c>
      <c r="C433" s="1" t="s">
        <v>3278</v>
      </c>
      <c r="D433" s="1" t="s">
        <v>441</v>
      </c>
      <c r="E433" s="4">
        <v>2000</v>
      </c>
      <c r="F433" s="5">
        <v>126</v>
      </c>
      <c r="G433" s="1" t="s">
        <v>4901</v>
      </c>
      <c r="H433" s="1" t="s">
        <v>181</v>
      </c>
      <c r="I433" s="1" t="s">
        <v>3074</v>
      </c>
      <c r="J433" s="5">
        <v>252000</v>
      </c>
      <c r="K433" s="5">
        <v>252000</v>
      </c>
      <c r="L433" s="5">
        <v>1260</v>
      </c>
      <c r="M433" s="1" t="s">
        <v>2308</v>
      </c>
      <c r="N433" s="1" t="s">
        <v>3983</v>
      </c>
      <c r="O433" s="1" t="s">
        <v>2521</v>
      </c>
      <c r="P433" s="1" t="s">
        <v>2515</v>
      </c>
      <c r="Q433" s="1" t="s">
        <v>2820</v>
      </c>
      <c r="R433" s="1" t="s">
        <v>4408</v>
      </c>
      <c r="S433" s="1" t="s">
        <v>4971</v>
      </c>
      <c r="T433" s="6">
        <v>44593</v>
      </c>
      <c r="U433" s="6">
        <v>44593</v>
      </c>
      <c r="V433" s="7">
        <v>0.54687708831018522</v>
      </c>
      <c r="W433" s="6">
        <v>44609</v>
      </c>
      <c r="X433" s="7">
        <v>0</v>
      </c>
      <c r="Y433" s="8">
        <v>44609.634548611109</v>
      </c>
      <c r="Z433" s="5">
        <v>510</v>
      </c>
      <c r="AA433" s="1" t="s">
        <v>3403</v>
      </c>
      <c r="AB433" s="1"/>
      <c r="AC433" s="1"/>
      <c r="AD433" s="1"/>
      <c r="AE433" s="1" t="s">
        <v>3788</v>
      </c>
      <c r="AF433" s="1" t="s">
        <v>9</v>
      </c>
      <c r="AG433" s="4">
        <v>2</v>
      </c>
      <c r="AH433" s="1"/>
      <c r="AI433" s="6">
        <v>44926</v>
      </c>
    </row>
    <row r="434" spans="1:35" x14ac:dyDescent="0.3">
      <c r="A434" s="1" t="s">
        <v>2111</v>
      </c>
      <c r="B434" s="2" t="str">
        <f>HYPERLINK("https://my.zakupki.prom.ua/remote/dispatcher/state_purchase_view/34689769")</f>
        <v>https://my.zakupki.prom.ua/remote/dispatcher/state_purchase_view/34689769</v>
      </c>
      <c r="C434" s="1" t="s">
        <v>3631</v>
      </c>
      <c r="D434" s="1" t="s">
        <v>1227</v>
      </c>
      <c r="E434" s="4">
        <v>1</v>
      </c>
      <c r="F434" s="5">
        <v>73000</v>
      </c>
      <c r="G434" s="1" t="s">
        <v>4940</v>
      </c>
      <c r="H434" s="1" t="s">
        <v>152</v>
      </c>
      <c r="I434" s="1" t="s">
        <v>3358</v>
      </c>
      <c r="J434" s="5">
        <v>73000</v>
      </c>
      <c r="K434" s="1" t="s">
        <v>3394</v>
      </c>
      <c r="L434" s="5">
        <v>365</v>
      </c>
      <c r="M434" s="1" t="s">
        <v>2308</v>
      </c>
      <c r="N434" s="1" t="s">
        <v>3403</v>
      </c>
      <c r="O434" s="1" t="s">
        <v>2521</v>
      </c>
      <c r="P434" s="1" t="s">
        <v>3956</v>
      </c>
      <c r="Q434" s="1" t="s">
        <v>4911</v>
      </c>
      <c r="R434" s="1" t="s">
        <v>4239</v>
      </c>
      <c r="S434" s="1" t="s">
        <v>4937</v>
      </c>
      <c r="T434" s="6">
        <v>44593</v>
      </c>
      <c r="U434" s="6">
        <v>44599</v>
      </c>
      <c r="V434" s="7">
        <v>0</v>
      </c>
      <c r="W434" s="6">
        <v>44602</v>
      </c>
      <c r="X434" s="7">
        <v>0</v>
      </c>
      <c r="Y434" s="1" t="s">
        <v>4860</v>
      </c>
      <c r="Z434" s="5">
        <v>340</v>
      </c>
      <c r="AA434" s="1" t="s">
        <v>3403</v>
      </c>
      <c r="AB434" s="1"/>
      <c r="AC434" s="1"/>
      <c r="AD434" s="1"/>
      <c r="AE434" s="1" t="s">
        <v>3756</v>
      </c>
      <c r="AF434" s="1" t="s">
        <v>9</v>
      </c>
      <c r="AG434" s="4">
        <v>3</v>
      </c>
      <c r="AH434" s="1"/>
      <c r="AI434" s="6">
        <v>44926</v>
      </c>
    </row>
    <row r="435" spans="1:35" x14ac:dyDescent="0.3">
      <c r="A435" s="1" t="s">
        <v>2110</v>
      </c>
      <c r="B435" s="2" t="str">
        <f>HYPERLINK("https://my.zakupki.prom.ua/remote/dispatcher/state_purchase_view/34686990")</f>
        <v>https://my.zakupki.prom.ua/remote/dispatcher/state_purchase_view/34686990</v>
      </c>
      <c r="C435" s="1" t="s">
        <v>2603</v>
      </c>
      <c r="D435" s="1" t="s">
        <v>174</v>
      </c>
      <c r="E435" s="4">
        <v>68000</v>
      </c>
      <c r="F435" s="5">
        <v>3.75</v>
      </c>
      <c r="G435" s="1" t="s">
        <v>4991</v>
      </c>
      <c r="H435" s="1" t="s">
        <v>365</v>
      </c>
      <c r="I435" s="1" t="s">
        <v>2566</v>
      </c>
      <c r="J435" s="5">
        <v>255000</v>
      </c>
      <c r="K435" s="1" t="s">
        <v>3394</v>
      </c>
      <c r="L435" s="5">
        <v>2550</v>
      </c>
      <c r="M435" s="1" t="s">
        <v>2308</v>
      </c>
      <c r="N435" s="1" t="s">
        <v>3983</v>
      </c>
      <c r="O435" s="1" t="s">
        <v>2521</v>
      </c>
      <c r="P435" s="1" t="s">
        <v>2515</v>
      </c>
      <c r="Q435" s="1" t="s">
        <v>4911</v>
      </c>
      <c r="R435" s="1" t="s">
        <v>4055</v>
      </c>
      <c r="S435" s="1" t="s">
        <v>4971</v>
      </c>
      <c r="T435" s="6">
        <v>44593</v>
      </c>
      <c r="U435" s="6">
        <v>44593</v>
      </c>
      <c r="V435" s="7">
        <v>0.55261220843750003</v>
      </c>
      <c r="W435" s="6">
        <v>44609</v>
      </c>
      <c r="X435" s="7">
        <v>0.45833333333333331</v>
      </c>
      <c r="Y435" s="8">
        <v>44610.504687499997</v>
      </c>
      <c r="Z435" s="5">
        <v>510</v>
      </c>
      <c r="AA435" s="1" t="s">
        <v>3403</v>
      </c>
      <c r="AB435" s="1"/>
      <c r="AC435" s="1"/>
      <c r="AD435" s="1"/>
      <c r="AE435" s="1" t="s">
        <v>3801</v>
      </c>
      <c r="AF435" s="1" t="s">
        <v>9</v>
      </c>
      <c r="AG435" s="4">
        <v>17</v>
      </c>
      <c r="AH435" s="1"/>
      <c r="AI435" s="6">
        <v>44926</v>
      </c>
    </row>
    <row r="436" spans="1:35" x14ac:dyDescent="0.3">
      <c r="A436" s="1" t="s">
        <v>2108</v>
      </c>
      <c r="B436" s="2" t="str">
        <f>HYPERLINK("https://my.zakupki.prom.ua/remote/dispatcher/state_purchase_view/34689697")</f>
        <v>https://my.zakupki.prom.ua/remote/dispatcher/state_purchase_view/34689697</v>
      </c>
      <c r="C436" s="1" t="s">
        <v>2623</v>
      </c>
      <c r="D436" s="1" t="s">
        <v>823</v>
      </c>
      <c r="E436" s="4">
        <v>1</v>
      </c>
      <c r="F436" s="5">
        <v>1330000</v>
      </c>
      <c r="G436" s="1" t="s">
        <v>4991</v>
      </c>
      <c r="H436" s="1" t="s">
        <v>1076</v>
      </c>
      <c r="I436" s="1" t="s">
        <v>4025</v>
      </c>
      <c r="J436" s="5">
        <v>1330000</v>
      </c>
      <c r="K436" s="1" t="s">
        <v>3394</v>
      </c>
      <c r="L436" s="5">
        <v>6650</v>
      </c>
      <c r="M436" s="1" t="s">
        <v>2308</v>
      </c>
      <c r="N436" s="1" t="s">
        <v>3983</v>
      </c>
      <c r="O436" s="1" t="s">
        <v>2521</v>
      </c>
      <c r="P436" s="1" t="s">
        <v>2515</v>
      </c>
      <c r="Q436" s="1" t="s">
        <v>2528</v>
      </c>
      <c r="R436" s="1" t="s">
        <v>4081</v>
      </c>
      <c r="S436" s="1" t="s">
        <v>4971</v>
      </c>
      <c r="T436" s="6">
        <v>44593</v>
      </c>
      <c r="U436" s="6">
        <v>44593</v>
      </c>
      <c r="V436" s="7">
        <v>0.55144082637731484</v>
      </c>
      <c r="W436" s="6">
        <v>44609</v>
      </c>
      <c r="X436" s="7">
        <v>0</v>
      </c>
      <c r="Y436" s="8">
        <v>44609.665671296294</v>
      </c>
      <c r="Z436" s="5">
        <v>1700</v>
      </c>
      <c r="AA436" s="1" t="s">
        <v>3403</v>
      </c>
      <c r="AB436" s="1"/>
      <c r="AC436" s="1"/>
      <c r="AD436" s="1"/>
      <c r="AE436" s="1" t="s">
        <v>3765</v>
      </c>
      <c r="AF436" s="1" t="s">
        <v>9</v>
      </c>
      <c r="AG436" s="4">
        <v>2</v>
      </c>
      <c r="AH436" s="1"/>
      <c r="AI436" s="6">
        <v>44926</v>
      </c>
    </row>
    <row r="437" spans="1:35" x14ac:dyDescent="0.3">
      <c r="A437" s="1" t="s">
        <v>2107</v>
      </c>
      <c r="B437" s="2" t="str">
        <f>HYPERLINK("https://my.zakupki.prom.ua/remote/dispatcher/state_purchase_view/34689692")</f>
        <v>https://my.zakupki.prom.ua/remote/dispatcher/state_purchase_view/34689692</v>
      </c>
      <c r="C437" s="1" t="s">
        <v>4006</v>
      </c>
      <c r="D437" s="1" t="s">
        <v>1222</v>
      </c>
      <c r="E437" s="4">
        <v>1</v>
      </c>
      <c r="F437" s="5">
        <v>595696.80000000005</v>
      </c>
      <c r="G437" s="1" t="s">
        <v>4976</v>
      </c>
      <c r="H437" s="1" t="s">
        <v>1003</v>
      </c>
      <c r="I437" s="1" t="s">
        <v>2561</v>
      </c>
      <c r="J437" s="5">
        <v>595696.80000000005</v>
      </c>
      <c r="K437" s="1" t="s">
        <v>3394</v>
      </c>
      <c r="L437" s="5">
        <v>5000</v>
      </c>
      <c r="M437" s="1" t="s">
        <v>2308</v>
      </c>
      <c r="N437" s="1" t="s">
        <v>3983</v>
      </c>
      <c r="O437" s="1" t="s">
        <v>2521</v>
      </c>
      <c r="P437" s="1" t="s">
        <v>3956</v>
      </c>
      <c r="Q437" s="1" t="s">
        <v>3426</v>
      </c>
      <c r="R437" s="1" t="s">
        <v>4675</v>
      </c>
      <c r="S437" s="1" t="s">
        <v>4937</v>
      </c>
      <c r="T437" s="6">
        <v>44593</v>
      </c>
      <c r="U437" s="6">
        <v>44600</v>
      </c>
      <c r="V437" s="7">
        <v>8.3333333333333329E-2</v>
      </c>
      <c r="W437" s="6">
        <v>44603</v>
      </c>
      <c r="X437" s="7">
        <v>0.55625000000000002</v>
      </c>
      <c r="Y437" s="1" t="s">
        <v>4860</v>
      </c>
      <c r="Z437" s="5">
        <v>510</v>
      </c>
      <c r="AA437" s="1" t="s">
        <v>3403</v>
      </c>
      <c r="AB437" s="1"/>
      <c r="AC437" s="1"/>
      <c r="AD437" s="1"/>
      <c r="AE437" s="1" t="s">
        <v>3704</v>
      </c>
      <c r="AF437" s="1" t="s">
        <v>9</v>
      </c>
      <c r="AG437" s="4">
        <v>75</v>
      </c>
      <c r="AH437" s="1"/>
      <c r="AI437" s="6">
        <v>44805</v>
      </c>
    </row>
    <row r="438" spans="1:35" x14ac:dyDescent="0.3">
      <c r="A438" s="1" t="s">
        <v>2104</v>
      </c>
      <c r="B438" s="2" t="str">
        <f>HYPERLINK("https://my.zakupki.prom.ua/remote/dispatcher/state_purchase_view/34689647")</f>
        <v>https://my.zakupki.prom.ua/remote/dispatcher/state_purchase_view/34689647</v>
      </c>
      <c r="C438" s="1" t="s">
        <v>3419</v>
      </c>
      <c r="D438" s="1" t="s">
        <v>213</v>
      </c>
      <c r="E438" s="4">
        <v>5</v>
      </c>
      <c r="F438" s="5">
        <v>12802.8</v>
      </c>
      <c r="G438" s="1" t="s">
        <v>4924</v>
      </c>
      <c r="H438" s="1" t="s">
        <v>317</v>
      </c>
      <c r="I438" s="1" t="s">
        <v>3201</v>
      </c>
      <c r="J438" s="5">
        <v>64014</v>
      </c>
      <c r="K438" s="1" t="s">
        <v>3394</v>
      </c>
      <c r="L438" s="5">
        <v>320.07</v>
      </c>
      <c r="M438" s="1" t="s">
        <v>2308</v>
      </c>
      <c r="N438" s="1" t="s">
        <v>3983</v>
      </c>
      <c r="O438" s="1" t="s">
        <v>2521</v>
      </c>
      <c r="P438" s="1" t="s">
        <v>3956</v>
      </c>
      <c r="Q438" s="1" t="s">
        <v>3325</v>
      </c>
      <c r="R438" s="1" t="s">
        <v>4056</v>
      </c>
      <c r="S438" s="1" t="s">
        <v>4937</v>
      </c>
      <c r="T438" s="6">
        <v>44593</v>
      </c>
      <c r="U438" s="6">
        <v>44599</v>
      </c>
      <c r="V438" s="7">
        <v>0.5395833333333333</v>
      </c>
      <c r="W438" s="6">
        <v>44602</v>
      </c>
      <c r="X438" s="7">
        <v>0.5395833333333333</v>
      </c>
      <c r="Y438" s="1" t="s">
        <v>4860</v>
      </c>
      <c r="Z438" s="5">
        <v>340</v>
      </c>
      <c r="AA438" s="1" t="s">
        <v>3403</v>
      </c>
      <c r="AB438" s="1"/>
      <c r="AC438" s="1"/>
      <c r="AD438" s="1"/>
      <c r="AE438" s="1" t="s">
        <v>3771</v>
      </c>
      <c r="AF438" s="1" t="s">
        <v>9</v>
      </c>
      <c r="AG438" s="1" t="s">
        <v>9</v>
      </c>
      <c r="AH438" s="6">
        <v>44613</v>
      </c>
      <c r="AI438" s="6">
        <v>44926</v>
      </c>
    </row>
    <row r="439" spans="1:35" x14ac:dyDescent="0.3">
      <c r="A439" s="1" t="s">
        <v>1686</v>
      </c>
      <c r="B439" s="2" t="str">
        <f>HYPERLINK("https://my.zakupki.prom.ua/remote/dispatcher/state_purchase_view/34689646")</f>
        <v>https://my.zakupki.prom.ua/remote/dispatcher/state_purchase_view/34689646</v>
      </c>
      <c r="C439" s="1" t="s">
        <v>3840</v>
      </c>
      <c r="D439" s="1" t="s">
        <v>1132</v>
      </c>
      <c r="E439" s="4">
        <v>1</v>
      </c>
      <c r="F439" s="5">
        <v>1460011</v>
      </c>
      <c r="G439" s="1" t="s">
        <v>4975</v>
      </c>
      <c r="H439" s="1" t="s">
        <v>834</v>
      </c>
      <c r="I439" s="1" t="s">
        <v>4733</v>
      </c>
      <c r="J439" s="5">
        <v>1460011</v>
      </c>
      <c r="K439" s="1" t="s">
        <v>3394</v>
      </c>
      <c r="L439" s="5">
        <v>7300.06</v>
      </c>
      <c r="M439" s="1" t="s">
        <v>2308</v>
      </c>
      <c r="N439" s="1" t="s">
        <v>3983</v>
      </c>
      <c r="O439" s="1" t="s">
        <v>2521</v>
      </c>
      <c r="P439" s="1" t="s">
        <v>3956</v>
      </c>
      <c r="Q439" s="1" t="s">
        <v>2820</v>
      </c>
      <c r="R439" s="1" t="s">
        <v>4643</v>
      </c>
      <c r="S439" s="1" t="s">
        <v>4937</v>
      </c>
      <c r="T439" s="6">
        <v>44593</v>
      </c>
      <c r="U439" s="6">
        <v>44599</v>
      </c>
      <c r="V439" s="7">
        <v>0.55184027777777778</v>
      </c>
      <c r="W439" s="6">
        <v>44602</v>
      </c>
      <c r="X439" s="7">
        <v>0.55184027777777778</v>
      </c>
      <c r="Y439" s="1" t="s">
        <v>4860</v>
      </c>
      <c r="Z439" s="5">
        <v>1700</v>
      </c>
      <c r="AA439" s="1" t="s">
        <v>3403</v>
      </c>
      <c r="AB439" s="1"/>
      <c r="AC439" s="1"/>
      <c r="AD439" s="1"/>
      <c r="AE439" s="1" t="s">
        <v>3708</v>
      </c>
      <c r="AF439" s="1" t="s">
        <v>9</v>
      </c>
      <c r="AG439" s="1" t="s">
        <v>9</v>
      </c>
      <c r="AH439" s="1"/>
      <c r="AI439" s="6">
        <v>44681</v>
      </c>
    </row>
    <row r="440" spans="1:35" x14ac:dyDescent="0.3">
      <c r="A440" s="1" t="s">
        <v>1677</v>
      </c>
      <c r="B440" s="2" t="str">
        <f>HYPERLINK("https://my.zakupki.prom.ua/remote/dispatcher/state_purchase_view/34689639")</f>
        <v>https://my.zakupki.prom.ua/remote/dispatcher/state_purchase_view/34689639</v>
      </c>
      <c r="C440" s="1" t="s">
        <v>2493</v>
      </c>
      <c r="D440" s="1" t="s">
        <v>1247</v>
      </c>
      <c r="E440" s="4">
        <v>1</v>
      </c>
      <c r="F440" s="5">
        <v>195000</v>
      </c>
      <c r="G440" s="1" t="s">
        <v>4940</v>
      </c>
      <c r="H440" s="1" t="s">
        <v>282</v>
      </c>
      <c r="I440" s="1" t="s">
        <v>4021</v>
      </c>
      <c r="J440" s="5">
        <v>195000</v>
      </c>
      <c r="K440" s="1" t="s">
        <v>3394</v>
      </c>
      <c r="L440" s="5">
        <v>975</v>
      </c>
      <c r="M440" s="1" t="s">
        <v>2308</v>
      </c>
      <c r="N440" s="1" t="s">
        <v>3983</v>
      </c>
      <c r="O440" s="1" t="s">
        <v>2521</v>
      </c>
      <c r="P440" s="1" t="s">
        <v>2762</v>
      </c>
      <c r="Q440" s="1" t="s">
        <v>3264</v>
      </c>
      <c r="R440" s="1" t="s">
        <v>4531</v>
      </c>
      <c r="S440" s="1" t="s">
        <v>4937</v>
      </c>
      <c r="T440" s="6">
        <v>44593</v>
      </c>
      <c r="U440" s="6">
        <v>44599</v>
      </c>
      <c r="V440" s="7">
        <v>0.54984953703703698</v>
      </c>
      <c r="W440" s="6">
        <v>44602</v>
      </c>
      <c r="X440" s="7">
        <v>0.54984953703703698</v>
      </c>
      <c r="Y440" s="1" t="s">
        <v>4860</v>
      </c>
      <c r="Z440" s="5">
        <v>340</v>
      </c>
      <c r="AA440" s="1" t="s">
        <v>3403</v>
      </c>
      <c r="AB440" s="1"/>
      <c r="AC440" s="1"/>
      <c r="AD440" s="1"/>
      <c r="AE440" s="1" t="s">
        <v>2362</v>
      </c>
      <c r="AF440" s="1" t="s">
        <v>9</v>
      </c>
      <c r="AG440" s="4">
        <v>3</v>
      </c>
      <c r="AH440" s="1"/>
      <c r="AI440" s="6">
        <v>44926</v>
      </c>
    </row>
    <row r="441" spans="1:35" x14ac:dyDescent="0.3">
      <c r="A441" s="1" t="s">
        <v>1415</v>
      </c>
      <c r="B441" s="2" t="str">
        <f>HYPERLINK("https://my.zakupki.prom.ua/remote/dispatcher/state_purchase_view/34689637")</f>
        <v>https://my.zakupki.prom.ua/remote/dispatcher/state_purchase_view/34689637</v>
      </c>
      <c r="C441" s="1" t="s">
        <v>3975</v>
      </c>
      <c r="D441" s="1" t="s">
        <v>461</v>
      </c>
      <c r="E441" s="1" t="s">
        <v>4903</v>
      </c>
      <c r="F441" s="1" t="s">
        <v>4903</v>
      </c>
      <c r="G441" s="1" t="s">
        <v>4903</v>
      </c>
      <c r="H441" s="1" t="s">
        <v>731</v>
      </c>
      <c r="I441" s="1" t="s">
        <v>3971</v>
      </c>
      <c r="J441" s="5">
        <v>145731.16</v>
      </c>
      <c r="K441" s="1" t="s">
        <v>3394</v>
      </c>
      <c r="L441" s="5">
        <v>728.66</v>
      </c>
      <c r="M441" s="1" t="s">
        <v>2308</v>
      </c>
      <c r="N441" s="1" t="s">
        <v>3983</v>
      </c>
      <c r="O441" s="1" t="s">
        <v>2521</v>
      </c>
      <c r="P441" s="1" t="s">
        <v>3956</v>
      </c>
      <c r="Q441" s="1" t="s">
        <v>3970</v>
      </c>
      <c r="R441" s="1" t="s">
        <v>4571</v>
      </c>
      <c r="S441" s="1" t="s">
        <v>4937</v>
      </c>
      <c r="T441" s="6">
        <v>44593</v>
      </c>
      <c r="U441" s="6">
        <v>44597</v>
      </c>
      <c r="V441" s="7">
        <v>0</v>
      </c>
      <c r="W441" s="6">
        <v>44601</v>
      </c>
      <c r="X441" s="7">
        <v>0</v>
      </c>
      <c r="Y441" s="1" t="s">
        <v>4860</v>
      </c>
      <c r="Z441" s="5">
        <v>340</v>
      </c>
      <c r="AA441" s="1" t="s">
        <v>3403</v>
      </c>
      <c r="AB441" s="1"/>
      <c r="AC441" s="1"/>
      <c r="AD441" s="1"/>
      <c r="AE441" s="1" t="s">
        <v>3788</v>
      </c>
      <c r="AF441" s="1" t="s">
        <v>9</v>
      </c>
      <c r="AG441" s="4">
        <v>2</v>
      </c>
      <c r="AH441" s="1"/>
      <c r="AI441" s="6">
        <v>44926</v>
      </c>
    </row>
    <row r="442" spans="1:35" x14ac:dyDescent="0.3">
      <c r="A442" s="1" t="s">
        <v>1680</v>
      </c>
      <c r="B442" s="2" t="str">
        <f>HYPERLINK("https://my.zakupki.prom.ua/remote/dispatcher/state_purchase_lot_view/740736")</f>
        <v>https://my.zakupki.prom.ua/remote/dispatcher/state_purchase_lot_view/740736</v>
      </c>
      <c r="C442" s="1" t="s">
        <v>3605</v>
      </c>
      <c r="D442" s="1" t="s">
        <v>1246</v>
      </c>
      <c r="E442" s="4">
        <v>10</v>
      </c>
      <c r="F442" s="5">
        <v>385</v>
      </c>
      <c r="G442" s="1" t="s">
        <v>4922</v>
      </c>
      <c r="H442" s="1" t="s">
        <v>406</v>
      </c>
      <c r="I442" s="1" t="s">
        <v>2893</v>
      </c>
      <c r="J442" s="5">
        <v>27000</v>
      </c>
      <c r="K442" s="5">
        <v>3850</v>
      </c>
      <c r="L442" s="5">
        <v>38.5</v>
      </c>
      <c r="M442" s="1" t="s">
        <v>2308</v>
      </c>
      <c r="N442" s="1" t="s">
        <v>3983</v>
      </c>
      <c r="O442" s="1" t="s">
        <v>2521</v>
      </c>
      <c r="P442" s="1" t="s">
        <v>3956</v>
      </c>
      <c r="Q442" s="1" t="s">
        <v>2761</v>
      </c>
      <c r="R442" s="1" t="s">
        <v>4087</v>
      </c>
      <c r="S442" s="1" t="s">
        <v>4937</v>
      </c>
      <c r="T442" s="6">
        <v>44593</v>
      </c>
      <c r="U442" s="6">
        <v>44599</v>
      </c>
      <c r="V442" s="7">
        <v>0.58333333333333337</v>
      </c>
      <c r="W442" s="6">
        <v>44602</v>
      </c>
      <c r="X442" s="7">
        <v>0.58333333333333337</v>
      </c>
      <c r="Y442" s="1" t="s">
        <v>4860</v>
      </c>
      <c r="Z442" s="5">
        <v>17</v>
      </c>
      <c r="AA442" s="1" t="s">
        <v>3403</v>
      </c>
      <c r="AB442" s="1"/>
      <c r="AC442" s="1"/>
      <c r="AD442" s="1"/>
      <c r="AE442" s="1" t="s">
        <v>3728</v>
      </c>
      <c r="AF442" s="1" t="s">
        <v>9</v>
      </c>
      <c r="AG442" s="4">
        <v>30</v>
      </c>
      <c r="AH442" s="6">
        <v>44621</v>
      </c>
      <c r="AI442" s="6">
        <v>44926</v>
      </c>
    </row>
    <row r="443" spans="1:35" x14ac:dyDescent="0.3">
      <c r="A443" s="1" t="s">
        <v>1680</v>
      </c>
      <c r="B443" s="2" t="str">
        <f>HYPERLINK("https://my.zakupki.prom.ua/remote/dispatcher/state_purchase_lot_view/740737")</f>
        <v>https://my.zakupki.prom.ua/remote/dispatcher/state_purchase_lot_view/740737</v>
      </c>
      <c r="C443" s="1" t="s">
        <v>3606</v>
      </c>
      <c r="D443" s="1" t="s">
        <v>1246</v>
      </c>
      <c r="E443" s="4">
        <v>10</v>
      </c>
      <c r="F443" s="5">
        <v>2315</v>
      </c>
      <c r="G443" s="1" t="s">
        <v>4922</v>
      </c>
      <c r="H443" s="1" t="s">
        <v>406</v>
      </c>
      <c r="I443" s="1" t="s">
        <v>2893</v>
      </c>
      <c r="J443" s="5">
        <v>27000</v>
      </c>
      <c r="K443" s="5">
        <v>23150</v>
      </c>
      <c r="L443" s="5">
        <v>231.5</v>
      </c>
      <c r="M443" s="1" t="s">
        <v>2308</v>
      </c>
      <c r="N443" s="1" t="s">
        <v>3983</v>
      </c>
      <c r="O443" s="1" t="s">
        <v>2521</v>
      </c>
      <c r="P443" s="1" t="s">
        <v>3956</v>
      </c>
      <c r="Q443" s="1" t="s">
        <v>2761</v>
      </c>
      <c r="R443" s="1" t="s">
        <v>4149</v>
      </c>
      <c r="S443" s="1" t="s">
        <v>4937</v>
      </c>
      <c r="T443" s="6">
        <v>44593</v>
      </c>
      <c r="U443" s="6">
        <v>44599</v>
      </c>
      <c r="V443" s="7">
        <v>0.58333333333333337</v>
      </c>
      <c r="W443" s="6">
        <v>44602</v>
      </c>
      <c r="X443" s="7">
        <v>0.58333333333333337</v>
      </c>
      <c r="Y443" s="1" t="s">
        <v>4860</v>
      </c>
      <c r="Z443" s="5">
        <v>119</v>
      </c>
      <c r="AA443" s="1" t="s">
        <v>3403</v>
      </c>
      <c r="AB443" s="1"/>
      <c r="AC443" s="1"/>
      <c r="AD443" s="1"/>
      <c r="AE443" s="1" t="s">
        <v>3728</v>
      </c>
      <c r="AF443" s="1" t="s">
        <v>9</v>
      </c>
      <c r="AG443" s="4">
        <v>30</v>
      </c>
      <c r="AH443" s="6">
        <v>44621</v>
      </c>
      <c r="AI443" s="6">
        <v>44926</v>
      </c>
    </row>
    <row r="444" spans="1:35" x14ac:dyDescent="0.3">
      <c r="A444" s="1" t="s">
        <v>1422</v>
      </c>
      <c r="B444" s="2" t="str">
        <f>HYPERLINK("https://my.zakupki.prom.ua/remote/dispatcher/state_purchase_view/34689627")</f>
        <v>https://my.zakupki.prom.ua/remote/dispatcher/state_purchase_view/34689627</v>
      </c>
      <c r="C444" s="1" t="s">
        <v>3924</v>
      </c>
      <c r="D444" s="1" t="s">
        <v>475</v>
      </c>
      <c r="E444" s="4">
        <v>100</v>
      </c>
      <c r="F444" s="5">
        <v>650</v>
      </c>
      <c r="G444" s="1" t="s">
        <v>4883</v>
      </c>
      <c r="H444" s="1" t="s">
        <v>662</v>
      </c>
      <c r="I444" s="1" t="s">
        <v>2809</v>
      </c>
      <c r="J444" s="5">
        <v>65000</v>
      </c>
      <c r="K444" s="1" t="s">
        <v>3394</v>
      </c>
      <c r="L444" s="5">
        <v>325</v>
      </c>
      <c r="M444" s="1" t="s">
        <v>2308</v>
      </c>
      <c r="N444" s="1" t="s">
        <v>3403</v>
      </c>
      <c r="O444" s="1" t="s">
        <v>2521</v>
      </c>
      <c r="P444" s="1" t="s">
        <v>2762</v>
      </c>
      <c r="Q444" s="1" t="s">
        <v>3878</v>
      </c>
      <c r="R444" s="1" t="s">
        <v>4491</v>
      </c>
      <c r="S444" s="1" t="s">
        <v>4937</v>
      </c>
      <c r="T444" s="6">
        <v>44593</v>
      </c>
      <c r="U444" s="6">
        <v>44597</v>
      </c>
      <c r="V444" s="7">
        <v>0.60416666666666663</v>
      </c>
      <c r="W444" s="6">
        <v>44602</v>
      </c>
      <c r="X444" s="7">
        <v>0.58333333333333337</v>
      </c>
      <c r="Y444" s="1" t="s">
        <v>4860</v>
      </c>
      <c r="Z444" s="5">
        <v>340</v>
      </c>
      <c r="AA444" s="1" t="s">
        <v>3403</v>
      </c>
      <c r="AB444" s="1"/>
      <c r="AC444" s="1"/>
      <c r="AD444" s="1"/>
      <c r="AE444" s="1" t="s">
        <v>3779</v>
      </c>
      <c r="AF444" s="1" t="s">
        <v>9</v>
      </c>
      <c r="AG444" s="1" t="s">
        <v>9</v>
      </c>
      <c r="AH444" s="6">
        <v>44593</v>
      </c>
      <c r="AI444" s="6">
        <v>44926</v>
      </c>
    </row>
    <row r="445" spans="1:35" x14ac:dyDescent="0.3">
      <c r="A445" s="1" t="s">
        <v>1421</v>
      </c>
      <c r="B445" s="2" t="str">
        <f>HYPERLINK("https://my.zakupki.prom.ua/remote/dispatcher/state_purchase_view/34689620")</f>
        <v>https://my.zakupki.prom.ua/remote/dispatcher/state_purchase_view/34689620</v>
      </c>
      <c r="C445" s="1" t="s">
        <v>3593</v>
      </c>
      <c r="D445" s="1" t="s">
        <v>1231</v>
      </c>
      <c r="E445" s="4">
        <v>1</v>
      </c>
      <c r="F445" s="5">
        <v>17600</v>
      </c>
      <c r="G445" s="1" t="s">
        <v>4940</v>
      </c>
      <c r="H445" s="1" t="s">
        <v>1084</v>
      </c>
      <c r="I445" s="1" t="s">
        <v>2825</v>
      </c>
      <c r="J445" s="5">
        <v>17600</v>
      </c>
      <c r="K445" s="1" t="s">
        <v>3394</v>
      </c>
      <c r="L445" s="5">
        <v>88</v>
      </c>
      <c r="M445" s="1" t="s">
        <v>2308</v>
      </c>
      <c r="N445" s="1" t="s">
        <v>3983</v>
      </c>
      <c r="O445" s="1" t="s">
        <v>2521</v>
      </c>
      <c r="P445" s="1" t="s">
        <v>2515</v>
      </c>
      <c r="Q445" s="1" t="s">
        <v>3264</v>
      </c>
      <c r="R445" s="1" t="s">
        <v>4530</v>
      </c>
      <c r="S445" s="1" t="s">
        <v>4971</v>
      </c>
      <c r="T445" s="6">
        <v>44593</v>
      </c>
      <c r="U445" s="6">
        <v>44593</v>
      </c>
      <c r="V445" s="7">
        <v>0.5449792167129629</v>
      </c>
      <c r="W445" s="6">
        <v>44609</v>
      </c>
      <c r="X445" s="7">
        <v>0.33333333333333331</v>
      </c>
      <c r="Y445" s="8">
        <v>44610.610763888886</v>
      </c>
      <c r="Z445" s="5">
        <v>17</v>
      </c>
      <c r="AA445" s="1" t="s">
        <v>3403</v>
      </c>
      <c r="AB445" s="1"/>
      <c r="AC445" s="1"/>
      <c r="AD445" s="1"/>
      <c r="AE445" s="1" t="s">
        <v>3754</v>
      </c>
      <c r="AF445" s="1" t="s">
        <v>9</v>
      </c>
      <c r="AG445" s="1" t="s">
        <v>9</v>
      </c>
      <c r="AH445" s="1"/>
      <c r="AI445" s="6">
        <v>44926</v>
      </c>
    </row>
    <row r="446" spans="1:35" x14ac:dyDescent="0.3">
      <c r="A446" s="1" t="s">
        <v>2103</v>
      </c>
      <c r="B446" s="2" t="str">
        <f>HYPERLINK("https://my.zakupki.prom.ua/remote/dispatcher/state_purchase_view/34689607")</f>
        <v>https://my.zakupki.prom.ua/remote/dispatcher/state_purchase_view/34689607</v>
      </c>
      <c r="C446" s="1" t="s">
        <v>4825</v>
      </c>
      <c r="D446" s="1" t="s">
        <v>503</v>
      </c>
      <c r="E446" s="1" t="s">
        <v>4903</v>
      </c>
      <c r="F446" s="1" t="s">
        <v>4903</v>
      </c>
      <c r="G446" s="1" t="s">
        <v>4903</v>
      </c>
      <c r="H446" s="1" t="s">
        <v>199</v>
      </c>
      <c r="I446" s="1" t="s">
        <v>2858</v>
      </c>
      <c r="J446" s="5">
        <v>111000</v>
      </c>
      <c r="K446" s="1" t="s">
        <v>3394</v>
      </c>
      <c r="L446" s="5">
        <v>1110</v>
      </c>
      <c r="M446" s="1" t="s">
        <v>2308</v>
      </c>
      <c r="N446" s="1" t="s">
        <v>3983</v>
      </c>
      <c r="O446" s="1" t="s">
        <v>2521</v>
      </c>
      <c r="P446" s="1" t="s">
        <v>3956</v>
      </c>
      <c r="Q446" s="1" t="s">
        <v>2761</v>
      </c>
      <c r="R446" s="1" t="s">
        <v>4591</v>
      </c>
      <c r="S446" s="1" t="s">
        <v>4937</v>
      </c>
      <c r="T446" s="6">
        <v>44593</v>
      </c>
      <c r="U446" s="6">
        <v>44600</v>
      </c>
      <c r="V446" s="7">
        <v>0.5</v>
      </c>
      <c r="W446" s="6">
        <v>44603</v>
      </c>
      <c r="X446" s="7">
        <v>0.99930555555555556</v>
      </c>
      <c r="Y446" s="1" t="s">
        <v>4860</v>
      </c>
      <c r="Z446" s="5">
        <v>340</v>
      </c>
      <c r="AA446" s="1" t="s">
        <v>3403</v>
      </c>
      <c r="AB446" s="1"/>
      <c r="AC446" s="1"/>
      <c r="AD446" s="1"/>
      <c r="AE446" s="1" t="s">
        <v>3788</v>
      </c>
      <c r="AF446" s="1" t="s">
        <v>9</v>
      </c>
      <c r="AG446" s="4">
        <v>16</v>
      </c>
      <c r="AH446" s="1"/>
      <c r="AI446" s="6">
        <v>44926</v>
      </c>
    </row>
    <row r="447" spans="1:35" x14ac:dyDescent="0.3">
      <c r="A447" s="1" t="s">
        <v>1683</v>
      </c>
      <c r="B447" s="2" t="str">
        <f>HYPERLINK("https://my.zakupki.prom.ua/remote/dispatcher/state_purchase_view/34689595")</f>
        <v>https://my.zakupki.prom.ua/remote/dispatcher/state_purchase_view/34689595</v>
      </c>
      <c r="C447" s="1" t="s">
        <v>3999</v>
      </c>
      <c r="D447" s="1" t="s">
        <v>1173</v>
      </c>
      <c r="E447" s="4">
        <v>1</v>
      </c>
      <c r="F447" s="5">
        <v>81000</v>
      </c>
      <c r="G447" s="1" t="s">
        <v>4940</v>
      </c>
      <c r="H447" s="1" t="s">
        <v>98</v>
      </c>
      <c r="I447" s="1" t="s">
        <v>3168</v>
      </c>
      <c r="J447" s="5">
        <v>81000</v>
      </c>
      <c r="K447" s="1" t="s">
        <v>3394</v>
      </c>
      <c r="L447" s="5">
        <v>810</v>
      </c>
      <c r="M447" s="1" t="s">
        <v>2308</v>
      </c>
      <c r="N447" s="1" t="s">
        <v>3983</v>
      </c>
      <c r="O447" s="1" t="s">
        <v>2521</v>
      </c>
      <c r="P447" s="1" t="s">
        <v>3956</v>
      </c>
      <c r="Q447" s="1" t="s">
        <v>3504</v>
      </c>
      <c r="R447" s="1" t="s">
        <v>4290</v>
      </c>
      <c r="S447" s="1" t="s">
        <v>4937</v>
      </c>
      <c r="T447" s="6">
        <v>44593</v>
      </c>
      <c r="U447" s="6">
        <v>44597</v>
      </c>
      <c r="V447" s="7">
        <v>0</v>
      </c>
      <c r="W447" s="6">
        <v>44601</v>
      </c>
      <c r="X447" s="7">
        <v>0</v>
      </c>
      <c r="Y447" s="1" t="s">
        <v>4860</v>
      </c>
      <c r="Z447" s="5">
        <v>340</v>
      </c>
      <c r="AA447" s="1" t="s">
        <v>3403</v>
      </c>
      <c r="AB447" s="1"/>
      <c r="AC447" s="1"/>
      <c r="AD447" s="1"/>
      <c r="AE447" s="1" t="s">
        <v>3750</v>
      </c>
      <c r="AF447" s="1" t="s">
        <v>9</v>
      </c>
      <c r="AG447" s="4">
        <v>6</v>
      </c>
      <c r="AH447" s="1"/>
      <c r="AI447" s="6">
        <v>44926</v>
      </c>
    </row>
    <row r="448" spans="1:35" x14ac:dyDescent="0.3">
      <c r="A448" s="1" t="s">
        <v>1423</v>
      </c>
      <c r="B448" s="2" t="str">
        <f>HYPERLINK("https://my.zakupki.prom.ua/remote/dispatcher/state_purchase_view/34689577")</f>
        <v>https://my.zakupki.prom.ua/remote/dispatcher/state_purchase_view/34689577</v>
      </c>
      <c r="C448" s="1" t="s">
        <v>3941</v>
      </c>
      <c r="D448" s="1" t="s">
        <v>510</v>
      </c>
      <c r="E448" s="1" t="s">
        <v>4903</v>
      </c>
      <c r="F448" s="1" t="s">
        <v>4903</v>
      </c>
      <c r="G448" s="1" t="s">
        <v>4903</v>
      </c>
      <c r="H448" s="1" t="s">
        <v>109</v>
      </c>
      <c r="I448" s="1" t="s">
        <v>2884</v>
      </c>
      <c r="J448" s="5">
        <v>276950</v>
      </c>
      <c r="K448" s="1" t="s">
        <v>3394</v>
      </c>
      <c r="L448" s="5">
        <v>1384.75</v>
      </c>
      <c r="M448" s="1" t="s">
        <v>2308</v>
      </c>
      <c r="N448" s="1" t="s">
        <v>3983</v>
      </c>
      <c r="O448" s="1" t="s">
        <v>2521</v>
      </c>
      <c r="P448" s="1" t="s">
        <v>2515</v>
      </c>
      <c r="Q448" s="1" t="s">
        <v>4794</v>
      </c>
      <c r="R448" s="1" t="s">
        <v>4656</v>
      </c>
      <c r="S448" s="1" t="s">
        <v>4971</v>
      </c>
      <c r="T448" s="6">
        <v>44593</v>
      </c>
      <c r="U448" s="6">
        <v>44593</v>
      </c>
      <c r="V448" s="7">
        <v>0.55033564814814817</v>
      </c>
      <c r="W448" s="6">
        <v>44609</v>
      </c>
      <c r="X448" s="7">
        <v>0.625</v>
      </c>
      <c r="Y448" s="8">
        <v>44610.640798611108</v>
      </c>
      <c r="Z448" s="5">
        <v>510</v>
      </c>
      <c r="AA448" s="1" t="s">
        <v>3403</v>
      </c>
      <c r="AB448" s="1"/>
      <c r="AC448" s="1"/>
      <c r="AD448" s="1"/>
      <c r="AE448" s="1" t="s">
        <v>3787</v>
      </c>
      <c r="AF448" s="1" t="s">
        <v>9</v>
      </c>
      <c r="AG448" s="4">
        <v>2</v>
      </c>
      <c r="AH448" s="1"/>
      <c r="AI448" s="6">
        <v>44926</v>
      </c>
    </row>
    <row r="449" spans="1:35" x14ac:dyDescent="0.3">
      <c r="A449" s="1" t="s">
        <v>1692</v>
      </c>
      <c r="B449" s="2" t="str">
        <f>HYPERLINK("https://my.zakupki.prom.ua/remote/dispatcher/state_purchase_view/34689565")</f>
        <v>https://my.zakupki.prom.ua/remote/dispatcher/state_purchase_view/34689565</v>
      </c>
      <c r="C449" s="1" t="s">
        <v>2750</v>
      </c>
      <c r="D449" s="1" t="s">
        <v>373</v>
      </c>
      <c r="E449" s="4">
        <v>3225</v>
      </c>
      <c r="F449" s="5">
        <v>31.01</v>
      </c>
      <c r="G449" s="1" t="s">
        <v>4908</v>
      </c>
      <c r="H449" s="1" t="s">
        <v>586</v>
      </c>
      <c r="I449" s="1" t="s">
        <v>2549</v>
      </c>
      <c r="J449" s="5">
        <v>100000</v>
      </c>
      <c r="K449" s="1" t="s">
        <v>3394</v>
      </c>
      <c r="L449" s="5">
        <v>500</v>
      </c>
      <c r="M449" s="1" t="s">
        <v>2308</v>
      </c>
      <c r="N449" s="1" t="s">
        <v>3403</v>
      </c>
      <c r="O449" s="1" t="s">
        <v>2521</v>
      </c>
      <c r="P449" s="1" t="s">
        <v>3956</v>
      </c>
      <c r="Q449" s="1" t="s">
        <v>3878</v>
      </c>
      <c r="R449" s="1" t="s">
        <v>4582</v>
      </c>
      <c r="S449" s="1" t="s">
        <v>4937</v>
      </c>
      <c r="T449" s="6">
        <v>44593</v>
      </c>
      <c r="U449" s="6">
        <v>44599</v>
      </c>
      <c r="V449" s="7">
        <v>0</v>
      </c>
      <c r="W449" s="6">
        <v>44602</v>
      </c>
      <c r="X449" s="7">
        <v>0</v>
      </c>
      <c r="Y449" s="1" t="s">
        <v>4860</v>
      </c>
      <c r="Z449" s="5">
        <v>340</v>
      </c>
      <c r="AA449" s="1" t="s">
        <v>3403</v>
      </c>
      <c r="AB449" s="1"/>
      <c r="AC449" s="1"/>
      <c r="AD449" s="1"/>
      <c r="AE449" s="1" t="s">
        <v>3768</v>
      </c>
      <c r="AF449" s="1" t="s">
        <v>9</v>
      </c>
      <c r="AG449" s="1" t="s">
        <v>9</v>
      </c>
      <c r="AH449" s="1"/>
      <c r="AI449" s="6">
        <v>44926</v>
      </c>
    </row>
    <row r="450" spans="1:35" x14ac:dyDescent="0.3">
      <c r="A450" s="1" t="s">
        <v>2094</v>
      </c>
      <c r="B450" s="2" t="str">
        <f>HYPERLINK("https://my.zakupki.prom.ua/remote/dispatcher/state_purchase_view/34689547")</f>
        <v>https://my.zakupki.prom.ua/remote/dispatcher/state_purchase_view/34689547</v>
      </c>
      <c r="C450" s="1" t="s">
        <v>3872</v>
      </c>
      <c r="D450" s="1" t="s">
        <v>1101</v>
      </c>
      <c r="E450" s="1" t="s">
        <v>4903</v>
      </c>
      <c r="F450" s="1" t="s">
        <v>4903</v>
      </c>
      <c r="G450" s="1" t="s">
        <v>4903</v>
      </c>
      <c r="H450" s="1" t="s">
        <v>744</v>
      </c>
      <c r="I450" s="1" t="s">
        <v>2582</v>
      </c>
      <c r="J450" s="5">
        <v>14700</v>
      </c>
      <c r="K450" s="1" t="s">
        <v>3394</v>
      </c>
      <c r="L450" s="5">
        <v>147</v>
      </c>
      <c r="M450" s="1" t="s">
        <v>2308</v>
      </c>
      <c r="N450" s="1" t="s">
        <v>3403</v>
      </c>
      <c r="O450" s="1" t="s">
        <v>2521</v>
      </c>
      <c r="P450" s="1" t="s">
        <v>2762</v>
      </c>
      <c r="Q450" s="1" t="s">
        <v>3325</v>
      </c>
      <c r="R450" s="1" t="s">
        <v>4081</v>
      </c>
      <c r="S450" s="1" t="s">
        <v>4937</v>
      </c>
      <c r="T450" s="6">
        <v>44593</v>
      </c>
      <c r="U450" s="6">
        <v>44599</v>
      </c>
      <c r="V450" s="7">
        <v>0.625</v>
      </c>
      <c r="W450" s="6">
        <v>44602</v>
      </c>
      <c r="X450" s="7">
        <v>0.75</v>
      </c>
      <c r="Y450" s="1" t="s">
        <v>4860</v>
      </c>
      <c r="Z450" s="5">
        <v>17</v>
      </c>
      <c r="AA450" s="1" t="s">
        <v>3403</v>
      </c>
      <c r="AB450" s="1"/>
      <c r="AC450" s="1"/>
      <c r="AD450" s="1"/>
      <c r="AE450" s="1" t="s">
        <v>3784</v>
      </c>
      <c r="AF450" s="1" t="s">
        <v>9</v>
      </c>
      <c r="AG450" s="1" t="s">
        <v>9</v>
      </c>
      <c r="AH450" s="6">
        <v>44621</v>
      </c>
      <c r="AI450" s="6">
        <v>44652</v>
      </c>
    </row>
    <row r="451" spans="1:35" x14ac:dyDescent="0.3">
      <c r="A451" s="1" t="s">
        <v>2102</v>
      </c>
      <c r="B451" s="2" t="str">
        <f>HYPERLINK("https://my.zakupki.prom.ua/remote/dispatcher/state_purchase_view/34689505")</f>
        <v>https://my.zakupki.prom.ua/remote/dispatcher/state_purchase_view/34689505</v>
      </c>
      <c r="C451" s="1" t="s">
        <v>2422</v>
      </c>
      <c r="D451" s="1" t="s">
        <v>216</v>
      </c>
      <c r="E451" s="1" t="s">
        <v>4903</v>
      </c>
      <c r="F451" s="1" t="s">
        <v>4903</v>
      </c>
      <c r="G451" s="1" t="s">
        <v>4903</v>
      </c>
      <c r="H451" s="1" t="s">
        <v>315</v>
      </c>
      <c r="I451" s="1" t="s">
        <v>3172</v>
      </c>
      <c r="J451" s="5">
        <v>95002</v>
      </c>
      <c r="K451" s="1" t="s">
        <v>3394</v>
      </c>
      <c r="L451" s="5">
        <v>475.01</v>
      </c>
      <c r="M451" s="1" t="s">
        <v>2308</v>
      </c>
      <c r="N451" s="1" t="s">
        <v>3983</v>
      </c>
      <c r="O451" s="1" t="s">
        <v>2521</v>
      </c>
      <c r="P451" s="1" t="s">
        <v>2515</v>
      </c>
      <c r="Q451" s="1" t="s">
        <v>2756</v>
      </c>
      <c r="R451" s="1" t="s">
        <v>4122</v>
      </c>
      <c r="S451" s="1" t="s">
        <v>4971</v>
      </c>
      <c r="T451" s="6">
        <v>44593</v>
      </c>
      <c r="U451" s="6">
        <v>44593</v>
      </c>
      <c r="V451" s="7">
        <v>0.54950088274305553</v>
      </c>
      <c r="W451" s="6">
        <v>44609</v>
      </c>
      <c r="X451" s="7">
        <v>0.95833333333333337</v>
      </c>
      <c r="Y451" s="8">
        <v>44610.652650462966</v>
      </c>
      <c r="Z451" s="5">
        <v>340</v>
      </c>
      <c r="AA451" s="1" t="s">
        <v>3403</v>
      </c>
      <c r="AB451" s="1"/>
      <c r="AC451" s="1"/>
      <c r="AD451" s="1"/>
      <c r="AE451" s="1" t="s">
        <v>3788</v>
      </c>
      <c r="AF451" s="1" t="s">
        <v>9</v>
      </c>
      <c r="AG451" s="4">
        <v>13</v>
      </c>
      <c r="AH451" s="1"/>
      <c r="AI451" s="6">
        <v>44712</v>
      </c>
    </row>
    <row r="452" spans="1:35" x14ac:dyDescent="0.3">
      <c r="A452" s="1" t="s">
        <v>2100</v>
      </c>
      <c r="B452" s="2" t="str">
        <f>HYPERLINK("https://my.zakupki.prom.ua/remote/dispatcher/state_purchase_view/34689295")</f>
        <v>https://my.zakupki.prom.ua/remote/dispatcher/state_purchase_view/34689295</v>
      </c>
      <c r="C452" s="1" t="s">
        <v>3918</v>
      </c>
      <c r="D452" s="1" t="s">
        <v>475</v>
      </c>
      <c r="E452" s="1" t="s">
        <v>4903</v>
      </c>
      <c r="F452" s="1" t="s">
        <v>4903</v>
      </c>
      <c r="G452" s="1" t="s">
        <v>4903</v>
      </c>
      <c r="H452" s="1" t="s">
        <v>92</v>
      </c>
      <c r="I452" s="1" t="s">
        <v>2889</v>
      </c>
      <c r="J452" s="5">
        <v>882850</v>
      </c>
      <c r="K452" s="1" t="s">
        <v>3394</v>
      </c>
      <c r="L452" s="5">
        <v>4414.25</v>
      </c>
      <c r="M452" s="1" t="s">
        <v>2308</v>
      </c>
      <c r="N452" s="1" t="s">
        <v>3983</v>
      </c>
      <c r="O452" s="1" t="s">
        <v>2521</v>
      </c>
      <c r="P452" s="1" t="s">
        <v>2515</v>
      </c>
      <c r="Q452" s="1" t="s">
        <v>3325</v>
      </c>
      <c r="R452" s="1" t="s">
        <v>4255</v>
      </c>
      <c r="S452" s="1" t="s">
        <v>4971</v>
      </c>
      <c r="T452" s="6">
        <v>44593</v>
      </c>
      <c r="U452" s="6">
        <v>44593</v>
      </c>
      <c r="V452" s="7">
        <v>0.54938664265046289</v>
      </c>
      <c r="W452" s="6">
        <v>44609</v>
      </c>
      <c r="X452" s="7">
        <v>0</v>
      </c>
      <c r="Y452" s="8">
        <v>44609.609965277778</v>
      </c>
      <c r="Z452" s="5">
        <v>510</v>
      </c>
      <c r="AA452" s="1" t="s">
        <v>3403</v>
      </c>
      <c r="AB452" s="1"/>
      <c r="AC452" s="1"/>
      <c r="AD452" s="1"/>
      <c r="AE452" s="1" t="s">
        <v>3787</v>
      </c>
      <c r="AF452" s="1" t="s">
        <v>9</v>
      </c>
      <c r="AG452" s="4">
        <v>4</v>
      </c>
      <c r="AH452" s="1"/>
      <c r="AI452" s="6">
        <v>44926</v>
      </c>
    </row>
    <row r="453" spans="1:35" x14ac:dyDescent="0.3">
      <c r="A453" s="1" t="s">
        <v>2099</v>
      </c>
      <c r="B453" s="2" t="str">
        <f>HYPERLINK("https://my.zakupki.prom.ua/remote/dispatcher/state_purchase_view/34689499")</f>
        <v>https://my.zakupki.prom.ua/remote/dispatcher/state_purchase_view/34689499</v>
      </c>
      <c r="C453" s="1" t="s">
        <v>2315</v>
      </c>
      <c r="D453" s="1" t="s">
        <v>382</v>
      </c>
      <c r="E453" s="4">
        <v>5700</v>
      </c>
      <c r="F453" s="5">
        <v>35</v>
      </c>
      <c r="G453" s="1" t="s">
        <v>4908</v>
      </c>
      <c r="H453" s="1" t="s">
        <v>1122</v>
      </c>
      <c r="I453" s="1" t="s">
        <v>2454</v>
      </c>
      <c r="J453" s="5">
        <v>199500</v>
      </c>
      <c r="K453" s="1" t="s">
        <v>3394</v>
      </c>
      <c r="L453" s="5">
        <v>1995</v>
      </c>
      <c r="M453" s="1" t="s">
        <v>2308</v>
      </c>
      <c r="N453" s="1" t="s">
        <v>3983</v>
      </c>
      <c r="O453" s="1" t="s">
        <v>2521</v>
      </c>
      <c r="P453" s="1" t="s">
        <v>2515</v>
      </c>
      <c r="Q453" s="1" t="s">
        <v>3035</v>
      </c>
      <c r="R453" s="1" t="s">
        <v>4596</v>
      </c>
      <c r="S453" s="1" t="s">
        <v>4971</v>
      </c>
      <c r="T453" s="6">
        <v>44593</v>
      </c>
      <c r="U453" s="6">
        <v>44593</v>
      </c>
      <c r="V453" s="7">
        <v>0.5492532206828703</v>
      </c>
      <c r="W453" s="6">
        <v>44609</v>
      </c>
      <c r="X453" s="7">
        <v>0</v>
      </c>
      <c r="Y453" s="8">
        <v>44609.529351851852</v>
      </c>
      <c r="Z453" s="5">
        <v>340</v>
      </c>
      <c r="AA453" s="1" t="s">
        <v>3403</v>
      </c>
      <c r="AB453" s="1"/>
      <c r="AC453" s="1"/>
      <c r="AD453" s="1"/>
      <c r="AE453" s="1" t="s">
        <v>3712</v>
      </c>
      <c r="AF453" s="1" t="s">
        <v>9</v>
      </c>
      <c r="AG453" s="1" t="s">
        <v>9</v>
      </c>
      <c r="AH453" s="1"/>
      <c r="AI453" s="6">
        <v>44926</v>
      </c>
    </row>
    <row r="454" spans="1:35" x14ac:dyDescent="0.3">
      <c r="A454" s="1" t="s">
        <v>2098</v>
      </c>
      <c r="B454" s="2" t="str">
        <f>HYPERLINK("https://my.zakupki.prom.ua/remote/dispatcher/state_purchase_view/34689308")</f>
        <v>https://my.zakupki.prom.ua/remote/dispatcher/state_purchase_view/34689308</v>
      </c>
      <c r="C454" s="1" t="s">
        <v>3533</v>
      </c>
      <c r="D454" s="1" t="s">
        <v>1222</v>
      </c>
      <c r="E454" s="4">
        <v>1</v>
      </c>
      <c r="F454" s="5">
        <v>226800</v>
      </c>
      <c r="G454" s="1" t="s">
        <v>4976</v>
      </c>
      <c r="H454" s="1" t="s">
        <v>114</v>
      </c>
      <c r="I454" s="1" t="s">
        <v>2898</v>
      </c>
      <c r="J454" s="5">
        <v>226800</v>
      </c>
      <c r="K454" s="1" t="s">
        <v>3394</v>
      </c>
      <c r="L454" s="5">
        <v>1134</v>
      </c>
      <c r="M454" s="1" t="s">
        <v>2308</v>
      </c>
      <c r="N454" s="1" t="s">
        <v>3983</v>
      </c>
      <c r="O454" s="1" t="s">
        <v>2521</v>
      </c>
      <c r="P454" s="1" t="s">
        <v>3956</v>
      </c>
      <c r="Q454" s="1" t="s">
        <v>4831</v>
      </c>
      <c r="R454" s="1" t="s">
        <v>4061</v>
      </c>
      <c r="S454" s="1" t="s">
        <v>4937</v>
      </c>
      <c r="T454" s="6">
        <v>44593</v>
      </c>
      <c r="U454" s="6">
        <v>44599</v>
      </c>
      <c r="V454" s="7">
        <v>0.70833333333333337</v>
      </c>
      <c r="W454" s="6">
        <v>44607</v>
      </c>
      <c r="X454" s="7">
        <v>0</v>
      </c>
      <c r="Y454" s="1" t="s">
        <v>4860</v>
      </c>
      <c r="Z454" s="5">
        <v>510</v>
      </c>
      <c r="AA454" s="1" t="s">
        <v>3403</v>
      </c>
      <c r="AB454" s="1"/>
      <c r="AC454" s="1"/>
      <c r="AD454" s="1"/>
      <c r="AE454" s="1" t="s">
        <v>3692</v>
      </c>
      <c r="AF454" s="1" t="s">
        <v>9</v>
      </c>
      <c r="AG454" s="1" t="s">
        <v>9</v>
      </c>
      <c r="AH454" s="1"/>
      <c r="AI454" s="6">
        <v>44915</v>
      </c>
    </row>
    <row r="455" spans="1:35" x14ac:dyDescent="0.3">
      <c r="A455" s="1" t="s">
        <v>2097</v>
      </c>
      <c r="B455" s="2" t="str">
        <f>HYPERLINK("https://my.zakupki.prom.ua/remote/dispatcher/state_purchase_view/34689293")</f>
        <v>https://my.zakupki.prom.ua/remote/dispatcher/state_purchase_view/34689293</v>
      </c>
      <c r="C455" s="1" t="s">
        <v>3480</v>
      </c>
      <c r="D455" s="1" t="s">
        <v>694</v>
      </c>
      <c r="E455" s="1" t="s">
        <v>4903</v>
      </c>
      <c r="F455" s="1" t="s">
        <v>4903</v>
      </c>
      <c r="G455" s="1" t="s">
        <v>4903</v>
      </c>
      <c r="H455" s="1" t="s">
        <v>835</v>
      </c>
      <c r="I455" s="1" t="s">
        <v>3290</v>
      </c>
      <c r="J455" s="5">
        <v>240000</v>
      </c>
      <c r="K455" s="1" t="s">
        <v>3394</v>
      </c>
      <c r="L455" s="5">
        <v>4800</v>
      </c>
      <c r="M455" s="1" t="s">
        <v>2308</v>
      </c>
      <c r="N455" s="1" t="s">
        <v>3983</v>
      </c>
      <c r="O455" s="1" t="s">
        <v>2521</v>
      </c>
      <c r="P455" s="1" t="s">
        <v>3956</v>
      </c>
      <c r="Q455" s="1" t="s">
        <v>4833</v>
      </c>
      <c r="R455" s="1" t="s">
        <v>4306</v>
      </c>
      <c r="S455" s="1" t="s">
        <v>4937</v>
      </c>
      <c r="T455" s="6">
        <v>44593</v>
      </c>
      <c r="U455" s="6">
        <v>44599</v>
      </c>
      <c r="V455" s="7">
        <v>0.58333333333333337</v>
      </c>
      <c r="W455" s="6">
        <v>44602</v>
      </c>
      <c r="X455" s="7">
        <v>0</v>
      </c>
      <c r="Y455" s="1" t="s">
        <v>4860</v>
      </c>
      <c r="Z455" s="5">
        <v>510</v>
      </c>
      <c r="AA455" s="1" t="s">
        <v>3403</v>
      </c>
      <c r="AB455" s="1"/>
      <c r="AC455" s="1"/>
      <c r="AD455" s="1"/>
      <c r="AE455" s="1" t="s">
        <v>3791</v>
      </c>
      <c r="AF455" s="1" t="s">
        <v>9</v>
      </c>
      <c r="AG455" s="4">
        <v>3</v>
      </c>
      <c r="AH455" s="1"/>
      <c r="AI455" s="6">
        <v>44926</v>
      </c>
    </row>
    <row r="456" spans="1:35" x14ac:dyDescent="0.3">
      <c r="A456" s="1" t="s">
        <v>2096</v>
      </c>
      <c r="B456" s="2" t="str">
        <f>HYPERLINK("https://my.zakupki.prom.ua/remote/dispatcher/state_purchase_view/34689258")</f>
        <v>https://my.zakupki.prom.ua/remote/dispatcher/state_purchase_view/34689258</v>
      </c>
      <c r="C456" s="1" t="s">
        <v>3050</v>
      </c>
      <c r="D456" s="1" t="s">
        <v>484</v>
      </c>
      <c r="E456" s="4">
        <v>3800</v>
      </c>
      <c r="F456" s="5">
        <v>13.42</v>
      </c>
      <c r="G456" s="1" t="s">
        <v>4991</v>
      </c>
      <c r="H456" s="1" t="s">
        <v>666</v>
      </c>
      <c r="I456" s="1" t="s">
        <v>3360</v>
      </c>
      <c r="J456" s="5">
        <v>51000</v>
      </c>
      <c r="K456" s="1" t="s">
        <v>3394</v>
      </c>
      <c r="L456" s="5">
        <v>255</v>
      </c>
      <c r="M456" s="1" t="s">
        <v>2308</v>
      </c>
      <c r="N456" s="1" t="s">
        <v>3983</v>
      </c>
      <c r="O456" s="1" t="s">
        <v>2521</v>
      </c>
      <c r="P456" s="1" t="s">
        <v>3956</v>
      </c>
      <c r="Q456" s="1" t="s">
        <v>4805</v>
      </c>
      <c r="R456" s="1" t="s">
        <v>4490</v>
      </c>
      <c r="S456" s="1" t="s">
        <v>4937</v>
      </c>
      <c r="T456" s="6">
        <v>44593</v>
      </c>
      <c r="U456" s="6">
        <v>44599</v>
      </c>
      <c r="V456" s="7">
        <v>0.54583333333333328</v>
      </c>
      <c r="W456" s="6">
        <v>44602</v>
      </c>
      <c r="X456" s="7">
        <v>0</v>
      </c>
      <c r="Y456" s="1" t="s">
        <v>4860</v>
      </c>
      <c r="Z456" s="5">
        <v>340</v>
      </c>
      <c r="AA456" s="1" t="s">
        <v>3403</v>
      </c>
      <c r="AB456" s="1"/>
      <c r="AC456" s="1"/>
      <c r="AD456" s="1"/>
      <c r="AE456" s="1" t="s">
        <v>3768</v>
      </c>
      <c r="AF456" s="1" t="s">
        <v>9</v>
      </c>
      <c r="AG456" s="4">
        <v>1</v>
      </c>
      <c r="AH456" s="1"/>
      <c r="AI456" s="6">
        <v>44926</v>
      </c>
    </row>
    <row r="457" spans="1:35" x14ac:dyDescent="0.3">
      <c r="A457" s="1" t="s">
        <v>2095</v>
      </c>
      <c r="B457" s="2" t="str">
        <f>HYPERLINK("https://my.zakupki.prom.ua/remote/dispatcher/state_purchase_view/34689039")</f>
        <v>https://my.zakupki.prom.ua/remote/dispatcher/state_purchase_view/34689039</v>
      </c>
      <c r="C457" s="1" t="s">
        <v>3912</v>
      </c>
      <c r="D457" s="1" t="s">
        <v>742</v>
      </c>
      <c r="E457" s="1" t="s">
        <v>4903</v>
      </c>
      <c r="F457" s="1" t="s">
        <v>4903</v>
      </c>
      <c r="G457" s="1" t="s">
        <v>4903</v>
      </c>
      <c r="H457" s="1" t="s">
        <v>740</v>
      </c>
      <c r="I457" s="1" t="s">
        <v>2934</v>
      </c>
      <c r="J457" s="5">
        <v>14532702</v>
      </c>
      <c r="K457" s="1" t="s">
        <v>3394</v>
      </c>
      <c r="L457" s="5">
        <v>145000</v>
      </c>
      <c r="M457" s="1" t="s">
        <v>2308</v>
      </c>
      <c r="N457" s="1" t="s">
        <v>3983</v>
      </c>
      <c r="O457" s="1" t="s">
        <v>432</v>
      </c>
      <c r="P457" s="1" t="s">
        <v>2516</v>
      </c>
      <c r="Q457" s="1" t="s">
        <v>4911</v>
      </c>
      <c r="R457" s="1" t="s">
        <v>4280</v>
      </c>
      <c r="S457" s="1" t="s">
        <v>4971</v>
      </c>
      <c r="T457" s="6">
        <v>44593</v>
      </c>
      <c r="U457" s="6">
        <v>44593</v>
      </c>
      <c r="V457" s="7">
        <v>0.54684853255787036</v>
      </c>
      <c r="W457" s="6">
        <v>44629</v>
      </c>
      <c r="X457" s="7">
        <v>0.41666666666666669</v>
      </c>
      <c r="Y457" s="8">
        <v>44665.566886574074</v>
      </c>
      <c r="Z457" s="5">
        <v>3400</v>
      </c>
      <c r="AA457" s="1" t="s">
        <v>3403</v>
      </c>
      <c r="AB457" s="1"/>
      <c r="AC457" s="1"/>
      <c r="AD457" s="1"/>
      <c r="AE457" s="1" t="s">
        <v>3799</v>
      </c>
      <c r="AF457" s="1" t="s">
        <v>9</v>
      </c>
      <c r="AG457" s="4">
        <v>217</v>
      </c>
      <c r="AH457" s="1"/>
      <c r="AI457" s="6">
        <v>44926</v>
      </c>
    </row>
    <row r="458" spans="1:35" x14ac:dyDescent="0.3">
      <c r="A458" s="1" t="s">
        <v>2073</v>
      </c>
      <c r="B458" s="2" t="str">
        <f>HYPERLINK("https://my.zakupki.prom.ua/remote/dispatcher/state_purchase_view/34689203")</f>
        <v>https://my.zakupki.prom.ua/remote/dispatcher/state_purchase_view/34689203</v>
      </c>
      <c r="C458" s="1" t="s">
        <v>2412</v>
      </c>
      <c r="D458" s="1" t="s">
        <v>376</v>
      </c>
      <c r="E458" s="4">
        <v>28345</v>
      </c>
      <c r="F458" s="5">
        <v>34.25</v>
      </c>
      <c r="G458" s="1" t="s">
        <v>4908</v>
      </c>
      <c r="H458" s="1" t="s">
        <v>947</v>
      </c>
      <c r="I458" s="1" t="s">
        <v>3078</v>
      </c>
      <c r="J458" s="5">
        <v>970816.25</v>
      </c>
      <c r="K458" s="1" t="s">
        <v>3394</v>
      </c>
      <c r="L458" s="5">
        <v>4854.08</v>
      </c>
      <c r="M458" s="1" t="s">
        <v>2308</v>
      </c>
      <c r="N458" s="1" t="s">
        <v>3983</v>
      </c>
      <c r="O458" s="1" t="s">
        <v>2521</v>
      </c>
      <c r="P458" s="1" t="s">
        <v>2515</v>
      </c>
      <c r="Q458" s="1" t="s">
        <v>2820</v>
      </c>
      <c r="R458" s="1" t="s">
        <v>4236</v>
      </c>
      <c r="S458" s="1" t="s">
        <v>4971</v>
      </c>
      <c r="T458" s="6">
        <v>44593</v>
      </c>
      <c r="U458" s="6">
        <v>44593</v>
      </c>
      <c r="V458" s="7">
        <v>0.53917400430555562</v>
      </c>
      <c r="W458" s="6">
        <v>44609</v>
      </c>
      <c r="X458" s="7">
        <v>0.54262731481481485</v>
      </c>
      <c r="Y458" s="8">
        <v>44610.559444444443</v>
      </c>
      <c r="Z458" s="5">
        <v>510</v>
      </c>
      <c r="AA458" s="1" t="s">
        <v>3403</v>
      </c>
      <c r="AB458" s="1"/>
      <c r="AC458" s="1"/>
      <c r="AD458" s="1"/>
      <c r="AE458" s="1" t="s">
        <v>3765</v>
      </c>
      <c r="AF458" s="1" t="s">
        <v>9</v>
      </c>
      <c r="AG458" s="4">
        <v>1</v>
      </c>
      <c r="AH458" s="1"/>
      <c r="AI458" s="6">
        <v>44926</v>
      </c>
    </row>
    <row r="459" spans="1:35" x14ac:dyDescent="0.3">
      <c r="A459" s="1" t="s">
        <v>2077</v>
      </c>
      <c r="B459" s="2" t="str">
        <f>HYPERLINK("https://my.zakupki.prom.ua/remote/dispatcher/state_purchase_view/34689198")</f>
        <v>https://my.zakupki.prom.ua/remote/dispatcher/state_purchase_view/34689198</v>
      </c>
      <c r="C459" s="1" t="s">
        <v>2471</v>
      </c>
      <c r="D459" s="1" t="s">
        <v>474</v>
      </c>
      <c r="E459" s="4">
        <v>2592</v>
      </c>
      <c r="F459" s="5">
        <v>184.34</v>
      </c>
      <c r="G459" s="1" t="s">
        <v>4883</v>
      </c>
      <c r="H459" s="1" t="s">
        <v>948</v>
      </c>
      <c r="I459" s="1" t="s">
        <v>2495</v>
      </c>
      <c r="J459" s="5">
        <v>477810</v>
      </c>
      <c r="K459" s="1" t="s">
        <v>3394</v>
      </c>
      <c r="L459" s="5">
        <v>2400</v>
      </c>
      <c r="M459" s="1" t="s">
        <v>2308</v>
      </c>
      <c r="N459" s="1" t="s">
        <v>3983</v>
      </c>
      <c r="O459" s="1" t="s">
        <v>2521</v>
      </c>
      <c r="P459" s="1" t="s">
        <v>2515</v>
      </c>
      <c r="Q459" s="1" t="s">
        <v>2528</v>
      </c>
      <c r="R459" s="1" t="s">
        <v>4562</v>
      </c>
      <c r="S459" s="1" t="s">
        <v>4971</v>
      </c>
      <c r="T459" s="6">
        <v>44593</v>
      </c>
      <c r="U459" s="6">
        <v>44593</v>
      </c>
      <c r="V459" s="7">
        <v>0.54093124694444439</v>
      </c>
      <c r="W459" s="6">
        <v>44609</v>
      </c>
      <c r="X459" s="7">
        <v>0.41666666666666669</v>
      </c>
      <c r="Y459" s="8">
        <v>44610.536863425928</v>
      </c>
      <c r="Z459" s="5">
        <v>510</v>
      </c>
      <c r="AA459" s="1" t="s">
        <v>3403</v>
      </c>
      <c r="AB459" s="1"/>
      <c r="AC459" s="1"/>
      <c r="AD459" s="1"/>
      <c r="AE459" s="1" t="s">
        <v>3787</v>
      </c>
      <c r="AF459" s="1" t="s">
        <v>9</v>
      </c>
      <c r="AG459" s="4">
        <v>5</v>
      </c>
      <c r="AH459" s="1"/>
      <c r="AI459" s="6">
        <v>44926</v>
      </c>
    </row>
    <row r="460" spans="1:35" x14ac:dyDescent="0.3">
      <c r="A460" s="1" t="s">
        <v>1675</v>
      </c>
      <c r="B460" s="2" t="str">
        <f>HYPERLINK("https://my.zakupki.prom.ua/remote/dispatcher/state_purchase_view/34689184")</f>
        <v>https://my.zakupki.prom.ua/remote/dispatcher/state_purchase_view/34689184</v>
      </c>
      <c r="C460" s="1" t="s">
        <v>3005</v>
      </c>
      <c r="D460" s="1" t="s">
        <v>1115</v>
      </c>
      <c r="E460" s="4">
        <v>600</v>
      </c>
      <c r="F460" s="5">
        <v>14.67</v>
      </c>
      <c r="G460" s="1" t="s">
        <v>4919</v>
      </c>
      <c r="H460" s="1" t="s">
        <v>605</v>
      </c>
      <c r="I460" s="1" t="s">
        <v>2807</v>
      </c>
      <c r="J460" s="5">
        <v>8800</v>
      </c>
      <c r="K460" s="1" t="s">
        <v>3394</v>
      </c>
      <c r="L460" s="5">
        <v>100</v>
      </c>
      <c r="M460" s="1" t="s">
        <v>2308</v>
      </c>
      <c r="N460" s="1" t="s">
        <v>3983</v>
      </c>
      <c r="O460" s="1" t="s">
        <v>2521</v>
      </c>
      <c r="P460" s="1" t="s">
        <v>2762</v>
      </c>
      <c r="Q460" s="1" t="s">
        <v>3035</v>
      </c>
      <c r="R460" s="1" t="s">
        <v>4213</v>
      </c>
      <c r="S460" s="1" t="s">
        <v>4937</v>
      </c>
      <c r="T460" s="6">
        <v>44593</v>
      </c>
      <c r="U460" s="6">
        <v>44599</v>
      </c>
      <c r="V460" s="7">
        <v>0</v>
      </c>
      <c r="W460" s="6">
        <v>44602</v>
      </c>
      <c r="X460" s="7">
        <v>0</v>
      </c>
      <c r="Y460" s="1" t="s">
        <v>4860</v>
      </c>
      <c r="Z460" s="5">
        <v>17</v>
      </c>
      <c r="AA460" s="1" t="s">
        <v>3403</v>
      </c>
      <c r="AB460" s="1"/>
      <c r="AC460" s="1"/>
      <c r="AD460" s="1"/>
      <c r="AE460" s="1" t="s">
        <v>3765</v>
      </c>
      <c r="AF460" s="1" t="s">
        <v>9</v>
      </c>
      <c r="AG460" s="4">
        <v>20</v>
      </c>
      <c r="AH460" s="1"/>
      <c r="AI460" s="6">
        <v>44926</v>
      </c>
    </row>
    <row r="461" spans="1:35" x14ac:dyDescent="0.3">
      <c r="A461" s="1" t="s">
        <v>1414</v>
      </c>
      <c r="B461" s="2" t="str">
        <f>HYPERLINK("https://my.zakupki.prom.ua/remote/dispatcher/state_purchase_view/34689161")</f>
        <v>https://my.zakupki.prom.ua/remote/dispatcher/state_purchase_view/34689161</v>
      </c>
      <c r="C461" s="1" t="s">
        <v>3490</v>
      </c>
      <c r="D461" s="1" t="s">
        <v>573</v>
      </c>
      <c r="E461" s="4">
        <v>57</v>
      </c>
      <c r="F461" s="5">
        <v>1368.42</v>
      </c>
      <c r="G461" s="1" t="s">
        <v>4924</v>
      </c>
      <c r="H461" s="1" t="s">
        <v>134</v>
      </c>
      <c r="I461" s="1" t="s">
        <v>3976</v>
      </c>
      <c r="J461" s="5">
        <v>78000</v>
      </c>
      <c r="K461" s="1" t="s">
        <v>3394</v>
      </c>
      <c r="L461" s="5">
        <v>780</v>
      </c>
      <c r="M461" s="1" t="s">
        <v>2308</v>
      </c>
      <c r="N461" s="1" t="s">
        <v>3983</v>
      </c>
      <c r="O461" s="1" t="s">
        <v>2521</v>
      </c>
      <c r="P461" s="1" t="s">
        <v>2515</v>
      </c>
      <c r="Q461" s="1" t="s">
        <v>3262</v>
      </c>
      <c r="R461" s="1" t="s">
        <v>4665</v>
      </c>
      <c r="S461" s="1" t="s">
        <v>4971</v>
      </c>
      <c r="T461" s="6">
        <v>44593</v>
      </c>
      <c r="U461" s="6">
        <v>44593</v>
      </c>
      <c r="V461" s="7">
        <v>0.53876756585648145</v>
      </c>
      <c r="W461" s="6">
        <v>44609</v>
      </c>
      <c r="X461" s="7">
        <v>0.54222222222222227</v>
      </c>
      <c r="Y461" s="8">
        <v>44610.574918981481</v>
      </c>
      <c r="Z461" s="5">
        <v>340</v>
      </c>
      <c r="AA461" s="1" t="s">
        <v>3403</v>
      </c>
      <c r="AB461" s="1"/>
      <c r="AC461" s="1"/>
      <c r="AD461" s="1"/>
      <c r="AE461" s="1" t="s">
        <v>2360</v>
      </c>
      <c r="AF461" s="1" t="s">
        <v>9</v>
      </c>
      <c r="AG461" s="4">
        <v>14</v>
      </c>
      <c r="AH461" s="6">
        <v>44652</v>
      </c>
      <c r="AI461" s="6">
        <v>44926</v>
      </c>
    </row>
    <row r="462" spans="1:35" x14ac:dyDescent="0.3">
      <c r="A462" s="1" t="s">
        <v>1670</v>
      </c>
      <c r="B462" s="2" t="str">
        <f>HYPERLINK("https://my.zakupki.prom.ua/remote/dispatcher/state_purchase_view/34689153")</f>
        <v>https://my.zakupki.prom.ua/remote/dispatcher/state_purchase_view/34689153</v>
      </c>
      <c r="C462" s="1" t="s">
        <v>3365</v>
      </c>
      <c r="D462" s="1" t="s">
        <v>1256</v>
      </c>
      <c r="E462" s="4">
        <v>2</v>
      </c>
      <c r="F462" s="5">
        <v>500</v>
      </c>
      <c r="G462" s="1" t="s">
        <v>4939</v>
      </c>
      <c r="H462" s="1" t="s">
        <v>536</v>
      </c>
      <c r="I462" s="1" t="s">
        <v>2460</v>
      </c>
      <c r="J462" s="5">
        <v>1000</v>
      </c>
      <c r="K462" s="1" t="s">
        <v>3394</v>
      </c>
      <c r="L462" s="5">
        <v>5</v>
      </c>
      <c r="M462" s="1" t="s">
        <v>2308</v>
      </c>
      <c r="N462" s="1" t="s">
        <v>3983</v>
      </c>
      <c r="O462" s="1" t="s">
        <v>2521</v>
      </c>
      <c r="P462" s="1" t="s">
        <v>3956</v>
      </c>
      <c r="Q462" s="1" t="s">
        <v>2497</v>
      </c>
      <c r="R462" s="1" t="s">
        <v>4081</v>
      </c>
      <c r="S462" s="1" t="s">
        <v>4937</v>
      </c>
      <c r="T462" s="6">
        <v>44593</v>
      </c>
      <c r="U462" s="6">
        <v>44600</v>
      </c>
      <c r="V462" s="7">
        <v>0</v>
      </c>
      <c r="W462" s="6">
        <v>44602</v>
      </c>
      <c r="X462" s="7">
        <v>0.75</v>
      </c>
      <c r="Y462" s="1" t="s">
        <v>4860</v>
      </c>
      <c r="Z462" s="5">
        <v>17</v>
      </c>
      <c r="AA462" s="1" t="s">
        <v>3403</v>
      </c>
      <c r="AB462" s="1"/>
      <c r="AC462" s="1"/>
      <c r="AD462" s="1"/>
      <c r="AE462" s="1" t="s">
        <v>3812</v>
      </c>
      <c r="AF462" s="1" t="s">
        <v>9</v>
      </c>
      <c r="AG462" s="4">
        <v>1</v>
      </c>
      <c r="AH462" s="1"/>
      <c r="AI462" s="6">
        <v>44926</v>
      </c>
    </row>
    <row r="463" spans="1:35" x14ac:dyDescent="0.3">
      <c r="A463" s="1" t="s">
        <v>1674</v>
      </c>
      <c r="B463" s="2" t="str">
        <f>HYPERLINK("https://my.zakupki.prom.ua/remote/dispatcher/state_purchase_view/34689147")</f>
        <v>https://my.zakupki.prom.ua/remote/dispatcher/state_purchase_view/34689147</v>
      </c>
      <c r="C463" s="1" t="s">
        <v>1243</v>
      </c>
      <c r="D463" s="1" t="s">
        <v>1243</v>
      </c>
      <c r="E463" s="4">
        <v>12</v>
      </c>
      <c r="F463" s="5">
        <v>375</v>
      </c>
      <c r="G463" s="1" t="s">
        <v>4940</v>
      </c>
      <c r="H463" s="1" t="s">
        <v>935</v>
      </c>
      <c r="I463" s="1" t="s">
        <v>2798</v>
      </c>
      <c r="J463" s="5">
        <v>4500</v>
      </c>
      <c r="K463" s="1" t="s">
        <v>3394</v>
      </c>
      <c r="L463" s="5">
        <v>45</v>
      </c>
      <c r="M463" s="1" t="s">
        <v>2308</v>
      </c>
      <c r="N463" s="1" t="s">
        <v>3983</v>
      </c>
      <c r="O463" s="1" t="s">
        <v>2521</v>
      </c>
      <c r="P463" s="1" t="s">
        <v>3956</v>
      </c>
      <c r="Q463" s="1" t="s">
        <v>2528</v>
      </c>
      <c r="R463" s="1" t="s">
        <v>4470</v>
      </c>
      <c r="S463" s="1" t="s">
        <v>4937</v>
      </c>
      <c r="T463" s="6">
        <v>44593</v>
      </c>
      <c r="U463" s="6">
        <v>44599</v>
      </c>
      <c r="V463" s="7">
        <v>0</v>
      </c>
      <c r="W463" s="6">
        <v>44602</v>
      </c>
      <c r="X463" s="7">
        <v>0</v>
      </c>
      <c r="Y463" s="1" t="s">
        <v>4860</v>
      </c>
      <c r="Z463" s="5">
        <v>17</v>
      </c>
      <c r="AA463" s="1" t="s">
        <v>3403</v>
      </c>
      <c r="AB463" s="1"/>
      <c r="AC463" s="1"/>
      <c r="AD463" s="1"/>
      <c r="AE463" s="1" t="s">
        <v>3747</v>
      </c>
      <c r="AF463" s="1" t="s">
        <v>9</v>
      </c>
      <c r="AG463" s="1" t="s">
        <v>9</v>
      </c>
      <c r="AH463" s="1"/>
      <c r="AI463" s="6">
        <v>44926</v>
      </c>
    </row>
    <row r="464" spans="1:35" x14ac:dyDescent="0.3">
      <c r="A464" s="1" t="s">
        <v>1671</v>
      </c>
      <c r="B464" s="2" t="str">
        <f>HYPERLINK("https://my.zakupki.prom.ua/remote/dispatcher/state_purchase_view/34689145")</f>
        <v>https://my.zakupki.prom.ua/remote/dispatcher/state_purchase_view/34689145</v>
      </c>
      <c r="C464" s="1" t="s">
        <v>3607</v>
      </c>
      <c r="D464" s="1" t="s">
        <v>1282</v>
      </c>
      <c r="E464" s="1" t="s">
        <v>4903</v>
      </c>
      <c r="F464" s="1" t="s">
        <v>4903</v>
      </c>
      <c r="G464" s="1" t="s">
        <v>4903</v>
      </c>
      <c r="H464" s="1" t="s">
        <v>1061</v>
      </c>
      <c r="I464" s="1" t="s">
        <v>3833</v>
      </c>
      <c r="J464" s="5">
        <v>10000</v>
      </c>
      <c r="K464" s="1" t="s">
        <v>3394</v>
      </c>
      <c r="L464" s="5">
        <v>50</v>
      </c>
      <c r="M464" s="1" t="s">
        <v>2308</v>
      </c>
      <c r="N464" s="1" t="s">
        <v>3983</v>
      </c>
      <c r="O464" s="1" t="s">
        <v>2521</v>
      </c>
      <c r="P464" s="1" t="s">
        <v>3956</v>
      </c>
      <c r="Q464" s="1" t="s">
        <v>4798</v>
      </c>
      <c r="R464" s="1" t="s">
        <v>4210</v>
      </c>
      <c r="S464" s="1" t="s">
        <v>4937</v>
      </c>
      <c r="T464" s="6">
        <v>44593</v>
      </c>
      <c r="U464" s="6">
        <v>44599</v>
      </c>
      <c r="V464" s="7">
        <v>0.5</v>
      </c>
      <c r="W464" s="6">
        <v>44602</v>
      </c>
      <c r="X464" s="7">
        <v>0.5</v>
      </c>
      <c r="Y464" s="1" t="s">
        <v>4860</v>
      </c>
      <c r="Z464" s="5">
        <v>17</v>
      </c>
      <c r="AA464" s="1" t="s">
        <v>3403</v>
      </c>
      <c r="AB464" s="1"/>
      <c r="AC464" s="1"/>
      <c r="AD464" s="1"/>
      <c r="AE464" s="1" t="s">
        <v>3727</v>
      </c>
      <c r="AF464" s="1" t="s">
        <v>9</v>
      </c>
      <c r="AG464" s="1" t="s">
        <v>9</v>
      </c>
      <c r="AH464" s="6">
        <v>44607</v>
      </c>
      <c r="AI464" s="6">
        <v>44918</v>
      </c>
    </row>
    <row r="465" spans="1:35" x14ac:dyDescent="0.3">
      <c r="A465" s="1" t="s">
        <v>2089</v>
      </c>
      <c r="B465" s="2" t="str">
        <f>HYPERLINK("https://my.zakupki.prom.ua/remote/dispatcher/state_purchase_lot_view/740728")</f>
        <v>https://my.zakupki.prom.ua/remote/dispatcher/state_purchase_lot_view/740728</v>
      </c>
      <c r="C465" s="1" t="s">
        <v>3905</v>
      </c>
      <c r="D465" s="1" t="s">
        <v>213</v>
      </c>
      <c r="E465" s="1" t="s">
        <v>4903</v>
      </c>
      <c r="F465" s="1" t="s">
        <v>4903</v>
      </c>
      <c r="G465" s="1" t="s">
        <v>4903</v>
      </c>
      <c r="H465" s="1" t="s">
        <v>347</v>
      </c>
      <c r="I465" s="1" t="s">
        <v>2743</v>
      </c>
      <c r="J465" s="5">
        <v>130480</v>
      </c>
      <c r="K465" s="5">
        <v>36660</v>
      </c>
      <c r="L465" s="5">
        <v>183.3</v>
      </c>
      <c r="M465" s="1" t="s">
        <v>2308</v>
      </c>
      <c r="N465" s="1" t="s">
        <v>3983</v>
      </c>
      <c r="O465" s="1" t="s">
        <v>2521</v>
      </c>
      <c r="P465" s="1" t="s">
        <v>3956</v>
      </c>
      <c r="Q465" s="1" t="s">
        <v>3970</v>
      </c>
      <c r="R465" s="1" t="s">
        <v>4650</v>
      </c>
      <c r="S465" s="1" t="s">
        <v>4937</v>
      </c>
      <c r="T465" s="6">
        <v>44593</v>
      </c>
      <c r="U465" s="6">
        <v>44598</v>
      </c>
      <c r="V465" s="7">
        <v>0.52777777777777779</v>
      </c>
      <c r="W465" s="6">
        <v>44602</v>
      </c>
      <c r="X465" s="7">
        <v>0.52847222222222223</v>
      </c>
      <c r="Y465" s="1" t="s">
        <v>4860</v>
      </c>
      <c r="Z465" s="5">
        <v>119</v>
      </c>
      <c r="AA465" s="1" t="s">
        <v>3403</v>
      </c>
      <c r="AB465" s="1"/>
      <c r="AC465" s="1"/>
      <c r="AD465" s="1"/>
      <c r="AE465" s="1" t="s">
        <v>3787</v>
      </c>
      <c r="AF465" s="1" t="s">
        <v>9</v>
      </c>
      <c r="AG465" s="1" t="s">
        <v>9</v>
      </c>
      <c r="AH465" s="1"/>
      <c r="AI465" s="6">
        <v>44926</v>
      </c>
    </row>
    <row r="466" spans="1:35" x14ac:dyDescent="0.3">
      <c r="A466" s="1" t="s">
        <v>2089</v>
      </c>
      <c r="B466" s="2" t="str">
        <f>HYPERLINK("https://my.zakupki.prom.ua/remote/dispatcher/state_purchase_lot_view/740729")</f>
        <v>https://my.zakupki.prom.ua/remote/dispatcher/state_purchase_lot_view/740729</v>
      </c>
      <c r="C466" s="1" t="s">
        <v>3906</v>
      </c>
      <c r="D466" s="1" t="s">
        <v>213</v>
      </c>
      <c r="E466" s="1" t="s">
        <v>4903</v>
      </c>
      <c r="F466" s="1" t="s">
        <v>4903</v>
      </c>
      <c r="G466" s="1" t="s">
        <v>4903</v>
      </c>
      <c r="H466" s="1" t="s">
        <v>347</v>
      </c>
      <c r="I466" s="1" t="s">
        <v>2743</v>
      </c>
      <c r="J466" s="5">
        <v>130480</v>
      </c>
      <c r="K466" s="5">
        <v>54250</v>
      </c>
      <c r="L466" s="5">
        <v>271.25</v>
      </c>
      <c r="M466" s="1" t="s">
        <v>2308</v>
      </c>
      <c r="N466" s="1" t="s">
        <v>3983</v>
      </c>
      <c r="O466" s="1" t="s">
        <v>2521</v>
      </c>
      <c r="P466" s="1" t="s">
        <v>3956</v>
      </c>
      <c r="Q466" s="1" t="s">
        <v>3970</v>
      </c>
      <c r="R466" s="1" t="s">
        <v>4527</v>
      </c>
      <c r="S466" s="1" t="s">
        <v>4937</v>
      </c>
      <c r="T466" s="6">
        <v>44593</v>
      </c>
      <c r="U466" s="6">
        <v>44598</v>
      </c>
      <c r="V466" s="7">
        <v>0.52777777777777779</v>
      </c>
      <c r="W466" s="6">
        <v>44602</v>
      </c>
      <c r="X466" s="7">
        <v>0.52847222222222223</v>
      </c>
      <c r="Y466" s="1" t="s">
        <v>4860</v>
      </c>
      <c r="Z466" s="5">
        <v>340</v>
      </c>
      <c r="AA466" s="1" t="s">
        <v>3403</v>
      </c>
      <c r="AB466" s="1"/>
      <c r="AC466" s="1"/>
      <c r="AD466" s="1"/>
      <c r="AE466" s="1" t="s">
        <v>3787</v>
      </c>
      <c r="AF466" s="1" t="s">
        <v>9</v>
      </c>
      <c r="AG466" s="1" t="s">
        <v>9</v>
      </c>
      <c r="AH466" s="1"/>
      <c r="AI466" s="6">
        <v>44926</v>
      </c>
    </row>
    <row r="467" spans="1:35" x14ac:dyDescent="0.3">
      <c r="A467" s="1" t="s">
        <v>2089</v>
      </c>
      <c r="B467" s="2" t="str">
        <f>HYPERLINK("https://my.zakupki.prom.ua/remote/dispatcher/state_purchase_lot_view/740730")</f>
        <v>https://my.zakupki.prom.ua/remote/dispatcher/state_purchase_lot_view/740730</v>
      </c>
      <c r="C467" s="1" t="s">
        <v>3907</v>
      </c>
      <c r="D467" s="1" t="s">
        <v>213</v>
      </c>
      <c r="E467" s="1" t="s">
        <v>4903</v>
      </c>
      <c r="F467" s="1" t="s">
        <v>4903</v>
      </c>
      <c r="G467" s="1" t="s">
        <v>4903</v>
      </c>
      <c r="H467" s="1" t="s">
        <v>347</v>
      </c>
      <c r="I467" s="1" t="s">
        <v>2743</v>
      </c>
      <c r="J467" s="5">
        <v>130480</v>
      </c>
      <c r="K467" s="5">
        <v>39570</v>
      </c>
      <c r="L467" s="5">
        <v>197.85</v>
      </c>
      <c r="M467" s="1" t="s">
        <v>2308</v>
      </c>
      <c r="N467" s="1" t="s">
        <v>3983</v>
      </c>
      <c r="O467" s="1" t="s">
        <v>2521</v>
      </c>
      <c r="P467" s="1" t="s">
        <v>3956</v>
      </c>
      <c r="Q467" s="1" t="s">
        <v>3970</v>
      </c>
      <c r="R467" s="1" t="s">
        <v>4123</v>
      </c>
      <c r="S467" s="1" t="s">
        <v>4937</v>
      </c>
      <c r="T467" s="6">
        <v>44593</v>
      </c>
      <c r="U467" s="6">
        <v>44598</v>
      </c>
      <c r="V467" s="7">
        <v>0.52777777777777779</v>
      </c>
      <c r="W467" s="6">
        <v>44602</v>
      </c>
      <c r="X467" s="7">
        <v>0.52847222222222223</v>
      </c>
      <c r="Y467" s="1" t="s">
        <v>4860</v>
      </c>
      <c r="Z467" s="5">
        <v>119</v>
      </c>
      <c r="AA467" s="1" t="s">
        <v>3403</v>
      </c>
      <c r="AB467" s="1"/>
      <c r="AC467" s="1"/>
      <c r="AD467" s="1"/>
      <c r="AE467" s="1" t="s">
        <v>3787</v>
      </c>
      <c r="AF467" s="1" t="s">
        <v>9</v>
      </c>
      <c r="AG467" s="1" t="s">
        <v>9</v>
      </c>
      <c r="AH467" s="1"/>
      <c r="AI467" s="6">
        <v>44926</v>
      </c>
    </row>
    <row r="468" spans="1:35" x14ac:dyDescent="0.3">
      <c r="A468" s="1" t="s">
        <v>2083</v>
      </c>
      <c r="B468" s="2" t="str">
        <f>HYPERLINK("https://my.zakupki.prom.ua/remote/dispatcher/state_purchase_view/34689120")</f>
        <v>https://my.zakupki.prom.ua/remote/dispatcher/state_purchase_view/34689120</v>
      </c>
      <c r="C468" s="1" t="s">
        <v>3554</v>
      </c>
      <c r="D468" s="1" t="s">
        <v>1302</v>
      </c>
      <c r="E468" s="4">
        <v>3590</v>
      </c>
      <c r="F468" s="5">
        <v>28.13</v>
      </c>
      <c r="G468" s="1" t="s">
        <v>4883</v>
      </c>
      <c r="H468" s="1" t="s">
        <v>111</v>
      </c>
      <c r="I468" s="1" t="s">
        <v>2900</v>
      </c>
      <c r="J468" s="5">
        <v>101000</v>
      </c>
      <c r="K468" s="1" t="s">
        <v>3394</v>
      </c>
      <c r="L468" s="5">
        <v>550</v>
      </c>
      <c r="M468" s="1" t="s">
        <v>2308</v>
      </c>
      <c r="N468" s="1" t="s">
        <v>3983</v>
      </c>
      <c r="O468" s="1" t="s">
        <v>2521</v>
      </c>
      <c r="P468" s="1" t="s">
        <v>3956</v>
      </c>
      <c r="Q468" s="1" t="s">
        <v>4805</v>
      </c>
      <c r="R468" s="1" t="s">
        <v>4568</v>
      </c>
      <c r="S468" s="1" t="s">
        <v>4937</v>
      </c>
      <c r="T468" s="6">
        <v>44593</v>
      </c>
      <c r="U468" s="6">
        <v>44599</v>
      </c>
      <c r="V468" s="7">
        <v>0.625</v>
      </c>
      <c r="W468" s="6">
        <v>44603</v>
      </c>
      <c r="X468" s="7">
        <v>0.625</v>
      </c>
      <c r="Y468" s="1" t="s">
        <v>4860</v>
      </c>
      <c r="Z468" s="5">
        <v>340</v>
      </c>
      <c r="AA468" s="1" t="s">
        <v>3403</v>
      </c>
      <c r="AB468" s="1"/>
      <c r="AC468" s="1"/>
      <c r="AD468" s="1"/>
      <c r="AE468" s="1" t="s">
        <v>3760</v>
      </c>
      <c r="AF468" s="1" t="s">
        <v>9</v>
      </c>
      <c r="AG468" s="4">
        <v>3</v>
      </c>
      <c r="AH468" s="1"/>
      <c r="AI468" s="6">
        <v>44926</v>
      </c>
    </row>
    <row r="469" spans="1:35" x14ac:dyDescent="0.3">
      <c r="A469" s="1" t="s">
        <v>2076</v>
      </c>
      <c r="B469" s="2" t="str">
        <f>HYPERLINK("https://my.zakupki.prom.ua/remote/dispatcher/state_purchase_view/34689117")</f>
        <v>https://my.zakupki.prom.ua/remote/dispatcher/state_purchase_view/34689117</v>
      </c>
      <c r="C469" s="1" t="s">
        <v>3281</v>
      </c>
      <c r="D469" s="1" t="s">
        <v>441</v>
      </c>
      <c r="E469" s="1" t="s">
        <v>4903</v>
      </c>
      <c r="F469" s="1" t="s">
        <v>4903</v>
      </c>
      <c r="G469" s="1" t="s">
        <v>4903</v>
      </c>
      <c r="H469" s="1" t="s">
        <v>785</v>
      </c>
      <c r="I469" s="1" t="s">
        <v>2466</v>
      </c>
      <c r="J469" s="5">
        <v>169625</v>
      </c>
      <c r="K469" s="1" t="s">
        <v>3394</v>
      </c>
      <c r="L469" s="5">
        <v>848.13</v>
      </c>
      <c r="M469" s="1" t="s">
        <v>2308</v>
      </c>
      <c r="N469" s="1" t="s">
        <v>3983</v>
      </c>
      <c r="O469" s="1" t="s">
        <v>2521</v>
      </c>
      <c r="P469" s="1" t="s">
        <v>3956</v>
      </c>
      <c r="Q469" s="1" t="s">
        <v>3878</v>
      </c>
      <c r="R469" s="1" t="s">
        <v>4633</v>
      </c>
      <c r="S469" s="1" t="s">
        <v>4937</v>
      </c>
      <c r="T469" s="6">
        <v>44593</v>
      </c>
      <c r="U469" s="6">
        <v>44599</v>
      </c>
      <c r="V469" s="7">
        <v>0.54437500000000005</v>
      </c>
      <c r="W469" s="6">
        <v>44603</v>
      </c>
      <c r="X469" s="7">
        <v>0.54437500000000005</v>
      </c>
      <c r="Y469" s="1" t="s">
        <v>4860</v>
      </c>
      <c r="Z469" s="5">
        <v>340</v>
      </c>
      <c r="AA469" s="1" t="s">
        <v>3403</v>
      </c>
      <c r="AB469" s="1"/>
      <c r="AC469" s="1"/>
      <c r="AD469" s="1"/>
      <c r="AE469" s="1" t="s">
        <v>3801</v>
      </c>
      <c r="AF469" s="1" t="s">
        <v>9</v>
      </c>
      <c r="AG469" s="1" t="s">
        <v>9</v>
      </c>
      <c r="AH469" s="1"/>
      <c r="AI469" s="6">
        <v>44926</v>
      </c>
    </row>
    <row r="470" spans="1:35" x14ac:dyDescent="0.3">
      <c r="A470" s="1" t="s">
        <v>1660</v>
      </c>
      <c r="B470" s="2" t="str">
        <f>HYPERLINK("https://my.zakupki.prom.ua/remote/dispatcher/state_purchase_view/34689116")</f>
        <v>https://my.zakupki.prom.ua/remote/dispatcher/state_purchase_view/34689116</v>
      </c>
      <c r="C470" s="1" t="s">
        <v>3015</v>
      </c>
      <c r="D470" s="1" t="s">
        <v>1137</v>
      </c>
      <c r="E470" s="4">
        <v>1</v>
      </c>
      <c r="F470" s="5">
        <v>1609443.6</v>
      </c>
      <c r="G470" s="1" t="s">
        <v>4976</v>
      </c>
      <c r="H470" s="1" t="s">
        <v>844</v>
      </c>
      <c r="I470" s="1" t="s">
        <v>2711</v>
      </c>
      <c r="J470" s="5">
        <v>1609443.6</v>
      </c>
      <c r="K470" s="1" t="s">
        <v>3394</v>
      </c>
      <c r="L470" s="5">
        <v>8047.21</v>
      </c>
      <c r="M470" s="1" t="s">
        <v>2308</v>
      </c>
      <c r="N470" s="1" t="s">
        <v>3983</v>
      </c>
      <c r="O470" s="1" t="s">
        <v>2521</v>
      </c>
      <c r="P470" s="1" t="s">
        <v>2515</v>
      </c>
      <c r="Q470" s="1" t="s">
        <v>2528</v>
      </c>
      <c r="R470" s="1" t="s">
        <v>4081</v>
      </c>
      <c r="S470" s="1" t="s">
        <v>4971</v>
      </c>
      <c r="T470" s="6">
        <v>44593</v>
      </c>
      <c r="U470" s="6">
        <v>44593</v>
      </c>
      <c r="V470" s="7">
        <v>0.53877747920138885</v>
      </c>
      <c r="W470" s="6">
        <v>44609</v>
      </c>
      <c r="X470" s="7">
        <v>0</v>
      </c>
      <c r="Y470" s="8">
        <v>44609.554282407407</v>
      </c>
      <c r="Z470" s="5">
        <v>1700</v>
      </c>
      <c r="AA470" s="1" t="s">
        <v>3403</v>
      </c>
      <c r="AB470" s="1"/>
      <c r="AC470" s="1"/>
      <c r="AD470" s="1"/>
      <c r="AE470" s="1" t="s">
        <v>3710</v>
      </c>
      <c r="AF470" s="1" t="s">
        <v>9</v>
      </c>
      <c r="AG470" s="4">
        <v>7</v>
      </c>
      <c r="AH470" s="1"/>
      <c r="AI470" s="6">
        <v>44864</v>
      </c>
    </row>
    <row r="471" spans="1:35" x14ac:dyDescent="0.3">
      <c r="A471" s="1" t="s">
        <v>1419</v>
      </c>
      <c r="B471" s="2" t="str">
        <f>HYPERLINK("https://my.zakupki.prom.ua/remote/dispatcher/state_purchase_view/34689110")</f>
        <v>https://my.zakupki.prom.ua/remote/dispatcher/state_purchase_view/34689110</v>
      </c>
      <c r="C471" s="1" t="s">
        <v>3344</v>
      </c>
      <c r="D471" s="1" t="s">
        <v>220</v>
      </c>
      <c r="E471" s="1" t="s">
        <v>4903</v>
      </c>
      <c r="F471" s="1" t="s">
        <v>4903</v>
      </c>
      <c r="G471" s="1" t="s">
        <v>4903</v>
      </c>
      <c r="H471" s="1" t="s">
        <v>541</v>
      </c>
      <c r="I471" s="1" t="s">
        <v>3202</v>
      </c>
      <c r="J471" s="5">
        <v>109000</v>
      </c>
      <c r="K471" s="1" t="s">
        <v>3394</v>
      </c>
      <c r="L471" s="5">
        <v>545</v>
      </c>
      <c r="M471" s="1" t="s">
        <v>2308</v>
      </c>
      <c r="N471" s="1" t="s">
        <v>3983</v>
      </c>
      <c r="O471" s="1" t="s">
        <v>2521</v>
      </c>
      <c r="P471" s="1" t="s">
        <v>3956</v>
      </c>
      <c r="Q471" s="1" t="s">
        <v>2820</v>
      </c>
      <c r="R471" s="1" t="s">
        <v>4477</v>
      </c>
      <c r="S471" s="1" t="s">
        <v>4937</v>
      </c>
      <c r="T471" s="6">
        <v>44593</v>
      </c>
      <c r="U471" s="6">
        <v>44599</v>
      </c>
      <c r="V471" s="7">
        <v>0.41666666666666669</v>
      </c>
      <c r="W471" s="6">
        <v>44602</v>
      </c>
      <c r="X471" s="7">
        <v>0.41666666666666669</v>
      </c>
      <c r="Y471" s="1" t="s">
        <v>4860</v>
      </c>
      <c r="Z471" s="5">
        <v>340</v>
      </c>
      <c r="AA471" s="1" t="s">
        <v>3403</v>
      </c>
      <c r="AB471" s="1"/>
      <c r="AC471" s="1"/>
      <c r="AD471" s="1"/>
      <c r="AE471" s="1" t="s">
        <v>3779</v>
      </c>
      <c r="AF471" s="1" t="s">
        <v>9</v>
      </c>
      <c r="AG471" s="4">
        <v>1</v>
      </c>
      <c r="AH471" s="1"/>
      <c r="AI471" s="6">
        <v>44926</v>
      </c>
    </row>
    <row r="472" spans="1:35" x14ac:dyDescent="0.3">
      <c r="A472" s="1" t="s">
        <v>2093</v>
      </c>
      <c r="B472" s="2" t="str">
        <f>HYPERLINK("https://my.zakupki.prom.ua/remote/dispatcher/state_purchase_view/34689082")</f>
        <v>https://my.zakupki.prom.ua/remote/dispatcher/state_purchase_view/34689082</v>
      </c>
      <c r="C472" s="1" t="s">
        <v>3690</v>
      </c>
      <c r="D472" s="1" t="s">
        <v>812</v>
      </c>
      <c r="E472" s="1" t="s">
        <v>4903</v>
      </c>
      <c r="F472" s="1" t="s">
        <v>4903</v>
      </c>
      <c r="G472" s="1" t="s">
        <v>4903</v>
      </c>
      <c r="H472" s="1" t="s">
        <v>108</v>
      </c>
      <c r="I472" s="1" t="s">
        <v>3123</v>
      </c>
      <c r="J472" s="5">
        <v>174400</v>
      </c>
      <c r="K472" s="1" t="s">
        <v>3394</v>
      </c>
      <c r="L472" s="5">
        <v>1744</v>
      </c>
      <c r="M472" s="1" t="s">
        <v>2308</v>
      </c>
      <c r="N472" s="1" t="s">
        <v>3983</v>
      </c>
      <c r="O472" s="1" t="s">
        <v>2521</v>
      </c>
      <c r="P472" s="1" t="s">
        <v>3956</v>
      </c>
      <c r="Q472" s="1" t="s">
        <v>4794</v>
      </c>
      <c r="R472" s="1" t="s">
        <v>4340</v>
      </c>
      <c r="S472" s="1" t="s">
        <v>4937</v>
      </c>
      <c r="T472" s="6">
        <v>44593</v>
      </c>
      <c r="U472" s="6">
        <v>44599</v>
      </c>
      <c r="V472" s="7">
        <v>0</v>
      </c>
      <c r="W472" s="6">
        <v>44603</v>
      </c>
      <c r="X472" s="7">
        <v>0</v>
      </c>
      <c r="Y472" s="1" t="s">
        <v>4860</v>
      </c>
      <c r="Z472" s="5">
        <v>340</v>
      </c>
      <c r="AA472" s="1" t="s">
        <v>3403</v>
      </c>
      <c r="AB472" s="1"/>
      <c r="AC472" s="1"/>
      <c r="AD472" s="1"/>
      <c r="AE472" s="1" t="s">
        <v>3774</v>
      </c>
      <c r="AF472" s="1" t="s">
        <v>9</v>
      </c>
      <c r="AG472" s="4">
        <v>4</v>
      </c>
      <c r="AH472" s="1"/>
      <c r="AI472" s="6">
        <v>44910</v>
      </c>
    </row>
    <row r="473" spans="1:35" x14ac:dyDescent="0.3">
      <c r="A473" s="1" t="s">
        <v>2092</v>
      </c>
      <c r="B473" s="2" t="str">
        <f>HYPERLINK("https://my.zakupki.prom.ua/remote/dispatcher/state_purchase_view/34689071")</f>
        <v>https://my.zakupki.prom.ua/remote/dispatcher/state_purchase_view/34689071</v>
      </c>
      <c r="C473" s="1" t="s">
        <v>4826</v>
      </c>
      <c r="D473" s="1" t="s">
        <v>500</v>
      </c>
      <c r="E473" s="4">
        <v>2714</v>
      </c>
      <c r="F473" s="5">
        <v>42</v>
      </c>
      <c r="G473" s="1" t="s">
        <v>4901</v>
      </c>
      <c r="H473" s="1" t="s">
        <v>199</v>
      </c>
      <c r="I473" s="1" t="s">
        <v>2858</v>
      </c>
      <c r="J473" s="5">
        <v>114000</v>
      </c>
      <c r="K473" s="1" t="s">
        <v>3394</v>
      </c>
      <c r="L473" s="5">
        <v>1140</v>
      </c>
      <c r="M473" s="1" t="s">
        <v>2308</v>
      </c>
      <c r="N473" s="1" t="s">
        <v>3983</v>
      </c>
      <c r="O473" s="1" t="s">
        <v>2521</v>
      </c>
      <c r="P473" s="1" t="s">
        <v>3956</v>
      </c>
      <c r="Q473" s="1" t="s">
        <v>2761</v>
      </c>
      <c r="R473" s="1" t="s">
        <v>4591</v>
      </c>
      <c r="S473" s="1" t="s">
        <v>4937</v>
      </c>
      <c r="T473" s="6">
        <v>44593</v>
      </c>
      <c r="U473" s="6">
        <v>44600</v>
      </c>
      <c r="V473" s="7">
        <v>0.5</v>
      </c>
      <c r="W473" s="6">
        <v>44603</v>
      </c>
      <c r="X473" s="7">
        <v>0.99930555555555556</v>
      </c>
      <c r="Y473" s="1" t="s">
        <v>4860</v>
      </c>
      <c r="Z473" s="5">
        <v>340</v>
      </c>
      <c r="AA473" s="1" t="s">
        <v>3403</v>
      </c>
      <c r="AB473" s="1"/>
      <c r="AC473" s="1"/>
      <c r="AD473" s="1"/>
      <c r="AE473" s="1" t="s">
        <v>3788</v>
      </c>
      <c r="AF473" s="1" t="s">
        <v>9</v>
      </c>
      <c r="AG473" s="4">
        <v>16</v>
      </c>
      <c r="AH473" s="1"/>
      <c r="AI473" s="6">
        <v>44926</v>
      </c>
    </row>
    <row r="474" spans="1:35" x14ac:dyDescent="0.3">
      <c r="A474" s="1" t="s">
        <v>2091</v>
      </c>
      <c r="B474" s="2" t="str">
        <f>HYPERLINK("https://my.zakupki.prom.ua/remote/dispatcher/state_purchase_view/34689043")</f>
        <v>https://my.zakupki.prom.ua/remote/dispatcher/state_purchase_view/34689043</v>
      </c>
      <c r="C474" s="1" t="s">
        <v>3988</v>
      </c>
      <c r="D474" s="1" t="s">
        <v>388</v>
      </c>
      <c r="E474" s="4">
        <v>43</v>
      </c>
      <c r="F474" s="5">
        <v>2627.91</v>
      </c>
      <c r="G474" s="1" t="s">
        <v>4875</v>
      </c>
      <c r="H474" s="1" t="s">
        <v>998</v>
      </c>
      <c r="I474" s="1" t="s">
        <v>2425</v>
      </c>
      <c r="J474" s="5">
        <v>113000</v>
      </c>
      <c r="K474" s="1" t="s">
        <v>3394</v>
      </c>
      <c r="L474" s="5">
        <v>565</v>
      </c>
      <c r="M474" s="1" t="s">
        <v>2308</v>
      </c>
      <c r="N474" s="1" t="s">
        <v>3983</v>
      </c>
      <c r="O474" s="1" t="s">
        <v>2521</v>
      </c>
      <c r="P474" s="1" t="s">
        <v>3956</v>
      </c>
      <c r="Q474" s="1" t="s">
        <v>2796</v>
      </c>
      <c r="R474" s="1" t="s">
        <v>4081</v>
      </c>
      <c r="S474" s="1" t="s">
        <v>4937</v>
      </c>
      <c r="T474" s="6">
        <v>44593</v>
      </c>
      <c r="U474" s="6">
        <v>44599</v>
      </c>
      <c r="V474" s="7">
        <v>0.5</v>
      </c>
      <c r="W474" s="6">
        <v>44602</v>
      </c>
      <c r="X474" s="7">
        <v>0.29166666666666669</v>
      </c>
      <c r="Y474" s="1" t="s">
        <v>4860</v>
      </c>
      <c r="Z474" s="5">
        <v>340</v>
      </c>
      <c r="AA474" s="1" t="s">
        <v>3403</v>
      </c>
      <c r="AB474" s="1"/>
      <c r="AC474" s="1"/>
      <c r="AD474" s="1"/>
      <c r="AE474" s="1" t="s">
        <v>3728</v>
      </c>
      <c r="AF474" s="1" t="s">
        <v>9</v>
      </c>
      <c r="AG474" s="1" t="s">
        <v>9</v>
      </c>
      <c r="AH474" s="1"/>
      <c r="AI474" s="6">
        <v>44926</v>
      </c>
    </row>
    <row r="475" spans="1:35" x14ac:dyDescent="0.3">
      <c r="A475" s="1" t="s">
        <v>2090</v>
      </c>
      <c r="B475" s="2" t="str">
        <f>HYPERLINK("https://my.zakupki.prom.ua/remote/dispatcher/state_purchase_lot_view/740465")</f>
        <v>https://my.zakupki.prom.ua/remote/dispatcher/state_purchase_lot_view/740465</v>
      </c>
      <c r="C475" s="1" t="s">
        <v>3274</v>
      </c>
      <c r="D475" s="1" t="s">
        <v>789</v>
      </c>
      <c r="E475" s="1" t="s">
        <v>4903</v>
      </c>
      <c r="F475" s="1" t="s">
        <v>4903</v>
      </c>
      <c r="G475" s="1" t="s">
        <v>4903</v>
      </c>
      <c r="H475" s="1" t="s">
        <v>1034</v>
      </c>
      <c r="I475" s="1" t="s">
        <v>2911</v>
      </c>
      <c r="J475" s="5">
        <v>322500</v>
      </c>
      <c r="K475" s="5">
        <v>236000</v>
      </c>
      <c r="L475" s="5">
        <v>1180</v>
      </c>
      <c r="M475" s="1" t="s">
        <v>2308</v>
      </c>
      <c r="N475" s="1" t="s">
        <v>3983</v>
      </c>
      <c r="O475" s="1" t="s">
        <v>2521</v>
      </c>
      <c r="P475" s="1" t="s">
        <v>2515</v>
      </c>
      <c r="Q475" s="1" t="s">
        <v>3992</v>
      </c>
      <c r="R475" s="1" t="s">
        <v>4081</v>
      </c>
      <c r="S475" s="1" t="s">
        <v>4971</v>
      </c>
      <c r="T475" s="6">
        <v>44593</v>
      </c>
      <c r="U475" s="6">
        <v>44593</v>
      </c>
      <c r="V475" s="7">
        <v>0.5445519014236111</v>
      </c>
      <c r="W475" s="6">
        <v>44609</v>
      </c>
      <c r="X475" s="7">
        <v>0</v>
      </c>
      <c r="Y475" s="8">
        <v>44609.579525462963</v>
      </c>
      <c r="Z475" s="5">
        <v>510</v>
      </c>
      <c r="AA475" s="1" t="s">
        <v>3403</v>
      </c>
      <c r="AB475" s="1"/>
      <c r="AC475" s="1"/>
      <c r="AD475" s="1"/>
      <c r="AE475" s="1" t="s">
        <v>3788</v>
      </c>
      <c r="AF475" s="1" t="s">
        <v>9</v>
      </c>
      <c r="AG475" s="1" t="s">
        <v>9</v>
      </c>
      <c r="AH475" s="1"/>
      <c r="AI475" s="6">
        <v>44926</v>
      </c>
    </row>
    <row r="476" spans="1:35" x14ac:dyDescent="0.3">
      <c r="A476" s="1" t="s">
        <v>2090</v>
      </c>
      <c r="B476" s="2" t="str">
        <f>HYPERLINK("https://my.zakupki.prom.ua/remote/dispatcher/state_purchase_lot_view/740466")</f>
        <v>https://my.zakupki.prom.ua/remote/dispatcher/state_purchase_lot_view/740466</v>
      </c>
      <c r="C476" s="1" t="s">
        <v>3275</v>
      </c>
      <c r="D476" s="1" t="s">
        <v>789</v>
      </c>
      <c r="E476" s="1" t="s">
        <v>4903</v>
      </c>
      <c r="F476" s="1" t="s">
        <v>4903</v>
      </c>
      <c r="G476" s="1" t="s">
        <v>4903</v>
      </c>
      <c r="H476" s="1" t="s">
        <v>1034</v>
      </c>
      <c r="I476" s="1" t="s">
        <v>2911</v>
      </c>
      <c r="J476" s="5">
        <v>322500</v>
      </c>
      <c r="K476" s="5">
        <v>86500</v>
      </c>
      <c r="L476" s="5">
        <v>432.5</v>
      </c>
      <c r="M476" s="1" t="s">
        <v>2308</v>
      </c>
      <c r="N476" s="1" t="s">
        <v>3983</v>
      </c>
      <c r="O476" s="1" t="s">
        <v>2521</v>
      </c>
      <c r="P476" s="1" t="s">
        <v>2515</v>
      </c>
      <c r="Q476" s="1" t="s">
        <v>3992</v>
      </c>
      <c r="R476" s="1" t="s">
        <v>4081</v>
      </c>
      <c r="S476" s="1" t="s">
        <v>4971</v>
      </c>
      <c r="T476" s="6">
        <v>44593</v>
      </c>
      <c r="U476" s="6">
        <v>44593</v>
      </c>
      <c r="V476" s="7">
        <v>0.5445519014236111</v>
      </c>
      <c r="W476" s="6">
        <v>44609</v>
      </c>
      <c r="X476" s="7">
        <v>0</v>
      </c>
      <c r="Y476" s="8">
        <v>44609.588449074072</v>
      </c>
      <c r="Z476" s="5">
        <v>340</v>
      </c>
      <c r="AA476" s="1" t="s">
        <v>3403</v>
      </c>
      <c r="AB476" s="1"/>
      <c r="AC476" s="1"/>
      <c r="AD476" s="1"/>
      <c r="AE476" s="1" t="s">
        <v>3788</v>
      </c>
      <c r="AF476" s="1" t="s">
        <v>9</v>
      </c>
      <c r="AG476" s="1" t="s">
        <v>9</v>
      </c>
      <c r="AH476" s="1"/>
      <c r="AI476" s="6">
        <v>44926</v>
      </c>
    </row>
    <row r="477" spans="1:35" x14ac:dyDescent="0.3">
      <c r="A477" s="1" t="s">
        <v>2088</v>
      </c>
      <c r="B477" s="2" t="str">
        <f>HYPERLINK("https://my.zakupki.prom.ua/remote/dispatcher/state_purchase_view/34688467")</f>
        <v>https://my.zakupki.prom.ua/remote/dispatcher/state_purchase_view/34688467</v>
      </c>
      <c r="C477" s="1" t="s">
        <v>3669</v>
      </c>
      <c r="D477" s="1" t="s">
        <v>492</v>
      </c>
      <c r="E477" s="4">
        <v>3153</v>
      </c>
      <c r="F477" s="5">
        <v>26.32</v>
      </c>
      <c r="G477" s="1" t="s">
        <v>4930</v>
      </c>
      <c r="H477" s="1" t="s">
        <v>67</v>
      </c>
      <c r="I477" s="1" t="s">
        <v>3137</v>
      </c>
      <c r="J477" s="5">
        <v>83000</v>
      </c>
      <c r="K477" s="1" t="s">
        <v>3394</v>
      </c>
      <c r="L477" s="5">
        <v>830</v>
      </c>
      <c r="M477" s="1" t="s">
        <v>2308</v>
      </c>
      <c r="N477" s="1" t="s">
        <v>3983</v>
      </c>
      <c r="O477" s="1" t="s">
        <v>2521</v>
      </c>
      <c r="P477" s="1" t="s">
        <v>3956</v>
      </c>
      <c r="Q477" s="1" t="s">
        <v>2761</v>
      </c>
      <c r="R477" s="1" t="s">
        <v>4338</v>
      </c>
      <c r="S477" s="1" t="s">
        <v>4937</v>
      </c>
      <c r="T477" s="6">
        <v>44593</v>
      </c>
      <c r="U477" s="6">
        <v>44599</v>
      </c>
      <c r="V477" s="7">
        <v>0.53888888888888886</v>
      </c>
      <c r="W477" s="6">
        <v>44602</v>
      </c>
      <c r="X477" s="7">
        <v>0.53888888888888886</v>
      </c>
      <c r="Y477" s="1" t="s">
        <v>4860</v>
      </c>
      <c r="Z477" s="5">
        <v>340</v>
      </c>
      <c r="AA477" s="1" t="s">
        <v>3403</v>
      </c>
      <c r="AB477" s="1"/>
      <c r="AC477" s="1"/>
      <c r="AD477" s="1"/>
      <c r="AE477" s="1" t="s">
        <v>3788</v>
      </c>
      <c r="AF477" s="1" t="s">
        <v>9</v>
      </c>
      <c r="AG477" s="4">
        <v>3</v>
      </c>
      <c r="AH477" s="6">
        <v>44621</v>
      </c>
      <c r="AI477" s="6">
        <v>44926</v>
      </c>
    </row>
    <row r="478" spans="1:35" x14ac:dyDescent="0.3">
      <c r="A478" s="1" t="s">
        <v>2087</v>
      </c>
      <c r="B478" s="2" t="str">
        <f>HYPERLINK("https://my.zakupki.prom.ua/remote/dispatcher/state_purchase_view/34688986")</f>
        <v>https://my.zakupki.prom.ua/remote/dispatcher/state_purchase_view/34688986</v>
      </c>
      <c r="C478" s="1" t="s">
        <v>4844</v>
      </c>
      <c r="D478" s="1" t="s">
        <v>174</v>
      </c>
      <c r="E478" s="4">
        <v>41949</v>
      </c>
      <c r="F478" s="5">
        <v>3.8</v>
      </c>
      <c r="G478" s="1" t="s">
        <v>4991</v>
      </c>
      <c r="H478" s="1" t="s">
        <v>191</v>
      </c>
      <c r="I478" s="1" t="s">
        <v>3208</v>
      </c>
      <c r="J478" s="5">
        <v>159406.20000000001</v>
      </c>
      <c r="K478" s="1" t="s">
        <v>3394</v>
      </c>
      <c r="L478" s="5">
        <v>797.03</v>
      </c>
      <c r="M478" s="1" t="s">
        <v>2308</v>
      </c>
      <c r="N478" s="1" t="s">
        <v>3983</v>
      </c>
      <c r="O478" s="1" t="s">
        <v>2521</v>
      </c>
      <c r="P478" s="1" t="s">
        <v>3956</v>
      </c>
      <c r="Q478" s="1" t="s">
        <v>4798</v>
      </c>
      <c r="R478" s="1" t="s">
        <v>4678</v>
      </c>
      <c r="S478" s="1" t="s">
        <v>4937</v>
      </c>
      <c r="T478" s="6">
        <v>44593</v>
      </c>
      <c r="U478" s="6">
        <v>44600</v>
      </c>
      <c r="V478" s="7">
        <v>0.54236111111111107</v>
      </c>
      <c r="W478" s="6">
        <v>44603</v>
      </c>
      <c r="X478" s="7">
        <v>0.54236111111111107</v>
      </c>
      <c r="Y478" s="1" t="s">
        <v>4860</v>
      </c>
      <c r="Z478" s="5">
        <v>340</v>
      </c>
      <c r="AA478" s="1" t="s">
        <v>3403</v>
      </c>
      <c r="AB478" s="1"/>
      <c r="AC478" s="1"/>
      <c r="AD478" s="1"/>
      <c r="AE478" s="1" t="s">
        <v>3767</v>
      </c>
      <c r="AF478" s="1" t="s">
        <v>9</v>
      </c>
      <c r="AG478" s="4">
        <v>31</v>
      </c>
      <c r="AH478" s="1"/>
      <c r="AI478" s="6">
        <v>44926</v>
      </c>
    </row>
    <row r="479" spans="1:35" x14ac:dyDescent="0.3">
      <c r="A479" s="1" t="s">
        <v>2086</v>
      </c>
      <c r="B479" s="2" t="str">
        <f>HYPERLINK("https://my.zakupki.prom.ua/remote/dispatcher/state_purchase_view/34688983")</f>
        <v>https://my.zakupki.prom.ua/remote/dispatcher/state_purchase_view/34688983</v>
      </c>
      <c r="C479" s="1" t="s">
        <v>3381</v>
      </c>
      <c r="D479" s="1" t="s">
        <v>373</v>
      </c>
      <c r="E479" s="4">
        <v>2900</v>
      </c>
      <c r="F479" s="5">
        <v>34.479999999999997</v>
      </c>
      <c r="G479" s="1" t="s">
        <v>4908</v>
      </c>
      <c r="H479" s="1" t="s">
        <v>157</v>
      </c>
      <c r="I479" s="1" t="s">
        <v>2742</v>
      </c>
      <c r="J479" s="5">
        <v>100000</v>
      </c>
      <c r="K479" s="1" t="s">
        <v>3394</v>
      </c>
      <c r="L479" s="5">
        <v>500</v>
      </c>
      <c r="M479" s="1" t="s">
        <v>2308</v>
      </c>
      <c r="N479" s="1" t="s">
        <v>3983</v>
      </c>
      <c r="O479" s="1" t="s">
        <v>2521</v>
      </c>
      <c r="P479" s="1" t="s">
        <v>3956</v>
      </c>
      <c r="Q479" s="1" t="s">
        <v>2497</v>
      </c>
      <c r="R479" s="1" t="s">
        <v>4046</v>
      </c>
      <c r="S479" s="1" t="s">
        <v>4937</v>
      </c>
      <c r="T479" s="6">
        <v>44593</v>
      </c>
      <c r="U479" s="6">
        <v>44599</v>
      </c>
      <c r="V479" s="7">
        <v>0.54097222222222219</v>
      </c>
      <c r="W479" s="6">
        <v>44602</v>
      </c>
      <c r="X479" s="7">
        <v>0.54097222222222219</v>
      </c>
      <c r="Y479" s="1" t="s">
        <v>4860</v>
      </c>
      <c r="Z479" s="5">
        <v>340</v>
      </c>
      <c r="AA479" s="1" t="s">
        <v>3403</v>
      </c>
      <c r="AB479" s="1"/>
      <c r="AC479" s="1"/>
      <c r="AD479" s="1"/>
      <c r="AE479" s="1" t="s">
        <v>3768</v>
      </c>
      <c r="AF479" s="1" t="s">
        <v>9</v>
      </c>
      <c r="AG479" s="4">
        <v>7</v>
      </c>
      <c r="AH479" s="6">
        <v>44593</v>
      </c>
      <c r="AI479" s="6">
        <v>44926</v>
      </c>
    </row>
    <row r="480" spans="1:35" x14ac:dyDescent="0.3">
      <c r="A480" s="1" t="s">
        <v>2085</v>
      </c>
      <c r="B480" s="2" t="str">
        <f>HYPERLINK("https://my.zakupki.prom.ua/remote/dispatcher/state_purchase_view/34688974")</f>
        <v>https://my.zakupki.prom.ua/remote/dispatcher/state_purchase_view/34688974</v>
      </c>
      <c r="C480" s="1" t="s">
        <v>2632</v>
      </c>
      <c r="D480" s="1" t="s">
        <v>772</v>
      </c>
      <c r="E480" s="1" t="s">
        <v>4903</v>
      </c>
      <c r="F480" s="1" t="s">
        <v>4903</v>
      </c>
      <c r="G480" s="1" t="s">
        <v>4903</v>
      </c>
      <c r="H480" s="1" t="s">
        <v>101</v>
      </c>
      <c r="I480" s="1" t="s">
        <v>2878</v>
      </c>
      <c r="J480" s="5">
        <v>1768000</v>
      </c>
      <c r="K480" s="1" t="s">
        <v>3394</v>
      </c>
      <c r="L480" s="5">
        <v>8840</v>
      </c>
      <c r="M480" s="1" t="s">
        <v>2308</v>
      </c>
      <c r="N480" s="1" t="s">
        <v>3983</v>
      </c>
      <c r="O480" s="1" t="s">
        <v>2521</v>
      </c>
      <c r="P480" s="1" t="s">
        <v>2515</v>
      </c>
      <c r="Q480" s="1" t="s">
        <v>3970</v>
      </c>
      <c r="R480" s="1" t="s">
        <v>4329</v>
      </c>
      <c r="S480" s="1" t="s">
        <v>4971</v>
      </c>
      <c r="T480" s="6">
        <v>44593</v>
      </c>
      <c r="U480" s="6">
        <v>44593</v>
      </c>
      <c r="V480" s="7">
        <v>0.54307604192129622</v>
      </c>
      <c r="W480" s="6">
        <v>44609</v>
      </c>
      <c r="X480" s="7">
        <v>0.33333333333333331</v>
      </c>
      <c r="Y480" s="8">
        <v>44610.587407407409</v>
      </c>
      <c r="Z480" s="5">
        <v>1700</v>
      </c>
      <c r="AA480" s="1" t="s">
        <v>3403</v>
      </c>
      <c r="AB480" s="1"/>
      <c r="AC480" s="1"/>
      <c r="AD480" s="1"/>
      <c r="AE480" s="1" t="s">
        <v>3788</v>
      </c>
      <c r="AF480" s="1" t="s">
        <v>9</v>
      </c>
      <c r="AG480" s="4">
        <v>4</v>
      </c>
      <c r="AH480" s="1"/>
      <c r="AI480" s="6">
        <v>44926</v>
      </c>
    </row>
    <row r="481" spans="1:35" x14ac:dyDescent="0.3">
      <c r="A481" s="1" t="s">
        <v>2084</v>
      </c>
      <c r="B481" s="2" t="str">
        <f>HYPERLINK("https://my.zakupki.prom.ua/remote/dispatcher/state_purchase_view/34688965")</f>
        <v>https://my.zakupki.prom.ua/remote/dispatcher/state_purchase_view/34688965</v>
      </c>
      <c r="C481" s="1" t="s">
        <v>2477</v>
      </c>
      <c r="D481" s="1" t="s">
        <v>1283</v>
      </c>
      <c r="E481" s="1" t="s">
        <v>4903</v>
      </c>
      <c r="F481" s="1" t="s">
        <v>4903</v>
      </c>
      <c r="G481" s="1" t="s">
        <v>4903</v>
      </c>
      <c r="H481" s="1" t="s">
        <v>159</v>
      </c>
      <c r="I481" s="1" t="s">
        <v>2458</v>
      </c>
      <c r="J481" s="5">
        <v>65200</v>
      </c>
      <c r="K481" s="1" t="s">
        <v>3394</v>
      </c>
      <c r="L481" s="5">
        <v>652</v>
      </c>
      <c r="M481" s="1" t="s">
        <v>2308</v>
      </c>
      <c r="N481" s="1" t="s">
        <v>3983</v>
      </c>
      <c r="O481" s="1" t="s">
        <v>2521</v>
      </c>
      <c r="P481" s="1" t="s">
        <v>3956</v>
      </c>
      <c r="Q481" s="1" t="s">
        <v>2756</v>
      </c>
      <c r="R481" s="1" t="s">
        <v>4686</v>
      </c>
      <c r="S481" s="1" t="s">
        <v>4937</v>
      </c>
      <c r="T481" s="6">
        <v>44593</v>
      </c>
      <c r="U481" s="6">
        <v>44599</v>
      </c>
      <c r="V481" s="7">
        <v>0.33333333333333331</v>
      </c>
      <c r="W481" s="6">
        <v>44602</v>
      </c>
      <c r="X481" s="7">
        <v>0.33333333333333331</v>
      </c>
      <c r="Y481" s="1" t="s">
        <v>4860</v>
      </c>
      <c r="Z481" s="5">
        <v>340</v>
      </c>
      <c r="AA481" s="1" t="s">
        <v>3403</v>
      </c>
      <c r="AB481" s="1"/>
      <c r="AC481" s="1"/>
      <c r="AD481" s="1"/>
      <c r="AE481" s="1" t="s">
        <v>3743</v>
      </c>
      <c r="AF481" s="1" t="s">
        <v>9</v>
      </c>
      <c r="AG481" s="4">
        <v>7</v>
      </c>
      <c r="AH481" s="1"/>
      <c r="AI481" s="6">
        <v>44926</v>
      </c>
    </row>
    <row r="482" spans="1:35" x14ac:dyDescent="0.3">
      <c r="A482" s="1" t="s">
        <v>2082</v>
      </c>
      <c r="B482" s="2" t="str">
        <f>HYPERLINK("https://my.zakupki.prom.ua/remote/dispatcher/state_purchase_view/34688946")</f>
        <v>https://my.zakupki.prom.ua/remote/dispatcher/state_purchase_view/34688946</v>
      </c>
      <c r="C482" s="1" t="s">
        <v>2316</v>
      </c>
      <c r="D482" s="1" t="s">
        <v>475</v>
      </c>
      <c r="E482" s="4">
        <v>1700</v>
      </c>
      <c r="F482" s="5">
        <v>82.94</v>
      </c>
      <c r="G482" s="1" t="s">
        <v>4901</v>
      </c>
      <c r="H482" s="1" t="s">
        <v>643</v>
      </c>
      <c r="I482" s="1" t="s">
        <v>2965</v>
      </c>
      <c r="J482" s="5">
        <v>141000</v>
      </c>
      <c r="K482" s="1" t="s">
        <v>3394</v>
      </c>
      <c r="L482" s="5">
        <v>705</v>
      </c>
      <c r="M482" s="1" t="s">
        <v>2308</v>
      </c>
      <c r="N482" s="1" t="s">
        <v>3983</v>
      </c>
      <c r="O482" s="1" t="s">
        <v>2521</v>
      </c>
      <c r="P482" s="1" t="s">
        <v>3956</v>
      </c>
      <c r="Q482" s="1" t="s">
        <v>3264</v>
      </c>
      <c r="R482" s="1" t="s">
        <v>4270</v>
      </c>
      <c r="S482" s="1" t="s">
        <v>4937</v>
      </c>
      <c r="T482" s="6">
        <v>44593</v>
      </c>
      <c r="U482" s="6">
        <v>44600</v>
      </c>
      <c r="V482" s="7">
        <v>0.52916666666666667</v>
      </c>
      <c r="W482" s="6">
        <v>44603</v>
      </c>
      <c r="X482" s="7">
        <v>0.52986111111111112</v>
      </c>
      <c r="Y482" s="1" t="s">
        <v>4860</v>
      </c>
      <c r="Z482" s="5">
        <v>340</v>
      </c>
      <c r="AA482" s="1" t="s">
        <v>3403</v>
      </c>
      <c r="AB482" s="1"/>
      <c r="AC482" s="1"/>
      <c r="AD482" s="1"/>
      <c r="AE482" s="1" t="s">
        <v>3803</v>
      </c>
      <c r="AF482" s="1" t="s">
        <v>9</v>
      </c>
      <c r="AG482" s="1" t="s">
        <v>9</v>
      </c>
      <c r="AH482" s="6">
        <v>44593</v>
      </c>
      <c r="AI482" s="6">
        <v>44926</v>
      </c>
    </row>
    <row r="483" spans="1:35" x14ac:dyDescent="0.3">
      <c r="A483" s="1" t="s">
        <v>2081</v>
      </c>
      <c r="B483" s="2" t="str">
        <f>HYPERLINK("https://my.zakupki.prom.ua/remote/dispatcher/state_purchase_view/34688867")</f>
        <v>https://my.zakupki.prom.ua/remote/dispatcher/state_purchase_view/34688867</v>
      </c>
      <c r="C483" s="1" t="s">
        <v>4018</v>
      </c>
      <c r="D483" s="1" t="s">
        <v>1095</v>
      </c>
      <c r="E483" s="1" t="s">
        <v>4903</v>
      </c>
      <c r="F483" s="1" t="s">
        <v>4903</v>
      </c>
      <c r="G483" s="1" t="s">
        <v>4903</v>
      </c>
      <c r="H483" s="1" t="s">
        <v>292</v>
      </c>
      <c r="I483" s="1" t="s">
        <v>2540</v>
      </c>
      <c r="J483" s="5">
        <v>175000</v>
      </c>
      <c r="K483" s="1" t="s">
        <v>3394</v>
      </c>
      <c r="L483" s="5">
        <v>875</v>
      </c>
      <c r="M483" s="1" t="s">
        <v>2308</v>
      </c>
      <c r="N483" s="1" t="s">
        <v>3983</v>
      </c>
      <c r="O483" s="1" t="s">
        <v>2521</v>
      </c>
      <c r="P483" s="1" t="s">
        <v>2515</v>
      </c>
      <c r="Q483" s="1" t="s">
        <v>2796</v>
      </c>
      <c r="R483" s="1" t="s">
        <v>4624</v>
      </c>
      <c r="S483" s="1" t="s">
        <v>4971</v>
      </c>
      <c r="T483" s="6">
        <v>44593</v>
      </c>
      <c r="U483" s="6">
        <v>44593</v>
      </c>
      <c r="V483" s="7">
        <v>0.54196767954861103</v>
      </c>
      <c r="W483" s="6">
        <v>44610</v>
      </c>
      <c r="X483" s="7">
        <v>0</v>
      </c>
      <c r="Y483" s="8">
        <v>44610.458564814813</v>
      </c>
      <c r="Z483" s="5">
        <v>340</v>
      </c>
      <c r="AA483" s="1" t="s">
        <v>3403</v>
      </c>
      <c r="AB483" s="1"/>
      <c r="AC483" s="1"/>
      <c r="AD483" s="1"/>
      <c r="AE483" s="1" t="s">
        <v>3767</v>
      </c>
      <c r="AF483" s="1" t="s">
        <v>9</v>
      </c>
      <c r="AG483" s="4">
        <v>3</v>
      </c>
      <c r="AH483" s="1"/>
      <c r="AI483" s="6">
        <v>44926</v>
      </c>
    </row>
    <row r="484" spans="1:35" x14ac:dyDescent="0.3">
      <c r="A484" s="1" t="s">
        <v>1644</v>
      </c>
      <c r="B484" s="2" t="str">
        <f>HYPERLINK("https://my.zakupki.prom.ua/remote/dispatcher/state_purchase_view/34688870")</f>
        <v>https://my.zakupki.prom.ua/remote/dispatcher/state_purchase_view/34688870</v>
      </c>
      <c r="C484" s="1" t="s">
        <v>2327</v>
      </c>
      <c r="D484" s="1" t="s">
        <v>1263</v>
      </c>
      <c r="E484" s="4">
        <v>492</v>
      </c>
      <c r="F484" s="5">
        <v>320.64</v>
      </c>
      <c r="G484" s="1" t="s">
        <v>4940</v>
      </c>
      <c r="H484" s="1" t="s">
        <v>986</v>
      </c>
      <c r="I484" s="1" t="s">
        <v>2730</v>
      </c>
      <c r="J484" s="5">
        <v>157753.51999999999</v>
      </c>
      <c r="K484" s="1" t="s">
        <v>3394</v>
      </c>
      <c r="L484" s="5">
        <v>788.76</v>
      </c>
      <c r="M484" s="1" t="s">
        <v>2308</v>
      </c>
      <c r="N484" s="1" t="s">
        <v>3983</v>
      </c>
      <c r="O484" s="1" t="s">
        <v>2521</v>
      </c>
      <c r="P484" s="1" t="s">
        <v>2516</v>
      </c>
      <c r="Q484" s="1" t="s">
        <v>4911</v>
      </c>
      <c r="R484" s="1" t="s">
        <v>4081</v>
      </c>
      <c r="S484" s="1" t="s">
        <v>4971</v>
      </c>
      <c r="T484" s="6">
        <v>44593</v>
      </c>
      <c r="U484" s="6">
        <v>44593</v>
      </c>
      <c r="V484" s="7">
        <v>0.5288423617361111</v>
      </c>
      <c r="W484" s="6">
        <v>44624</v>
      </c>
      <c r="X484" s="7">
        <v>0</v>
      </c>
      <c r="Y484" s="8">
        <v>44659.481944444444</v>
      </c>
      <c r="Z484" s="5">
        <v>340</v>
      </c>
      <c r="AA484" s="1" t="s">
        <v>3403</v>
      </c>
      <c r="AB484" s="1"/>
      <c r="AC484" s="1"/>
      <c r="AD484" s="1"/>
      <c r="AE484" s="1" t="s">
        <v>3754</v>
      </c>
      <c r="AF484" s="1" t="s">
        <v>9</v>
      </c>
      <c r="AG484" s="4">
        <v>28</v>
      </c>
      <c r="AH484" s="1"/>
      <c r="AI484" s="6">
        <v>44926</v>
      </c>
    </row>
    <row r="485" spans="1:35" x14ac:dyDescent="0.3">
      <c r="A485" s="1" t="s">
        <v>1665</v>
      </c>
      <c r="B485" s="2" t="str">
        <f>HYPERLINK("https://my.zakupki.prom.ua/remote/dispatcher/state_purchase_lot_view/740727")</f>
        <v>https://my.zakupki.prom.ua/remote/dispatcher/state_purchase_lot_view/740727</v>
      </c>
      <c r="C485" s="1" t="s">
        <v>3849</v>
      </c>
      <c r="D485" s="1" t="s">
        <v>453</v>
      </c>
      <c r="E485" s="4">
        <v>4050</v>
      </c>
      <c r="F485" s="5">
        <v>81.75</v>
      </c>
      <c r="G485" s="1" t="s">
        <v>4901</v>
      </c>
      <c r="H485" s="1" t="s">
        <v>187</v>
      </c>
      <c r="I485" s="1" t="s">
        <v>2961</v>
      </c>
      <c r="J485" s="5">
        <v>331079</v>
      </c>
      <c r="K485" s="5">
        <v>331079</v>
      </c>
      <c r="L485" s="5">
        <v>1655.4</v>
      </c>
      <c r="M485" s="1" t="s">
        <v>2308</v>
      </c>
      <c r="N485" s="1" t="s">
        <v>3983</v>
      </c>
      <c r="O485" s="1" t="s">
        <v>2521</v>
      </c>
      <c r="P485" s="1" t="s">
        <v>2515</v>
      </c>
      <c r="Q485" s="1" t="s">
        <v>3878</v>
      </c>
      <c r="R485" s="1" t="s">
        <v>4162</v>
      </c>
      <c r="S485" s="1" t="s">
        <v>4971</v>
      </c>
      <c r="T485" s="6">
        <v>44593</v>
      </c>
      <c r="U485" s="6">
        <v>44593</v>
      </c>
      <c r="V485" s="7">
        <v>0.54101540054398145</v>
      </c>
      <c r="W485" s="6">
        <v>44609</v>
      </c>
      <c r="X485" s="7">
        <v>0</v>
      </c>
      <c r="Y485" s="8">
        <v>44609.538634259261</v>
      </c>
      <c r="Z485" s="5">
        <v>510</v>
      </c>
      <c r="AA485" s="1" t="s">
        <v>3403</v>
      </c>
      <c r="AB485" s="1"/>
      <c r="AC485" s="1"/>
      <c r="AD485" s="1"/>
      <c r="AE485" s="1" t="s">
        <v>3803</v>
      </c>
      <c r="AF485" s="1" t="s">
        <v>9</v>
      </c>
      <c r="AG485" s="1" t="s">
        <v>9</v>
      </c>
      <c r="AH485" s="6">
        <v>44621</v>
      </c>
      <c r="AI485" s="6">
        <v>44926</v>
      </c>
    </row>
    <row r="486" spans="1:35" x14ac:dyDescent="0.3">
      <c r="A486" s="1" t="s">
        <v>1390</v>
      </c>
      <c r="B486" s="2" t="str">
        <f>HYPERLINK("https://my.zakupki.prom.ua/remote/dispatcher/state_purchase_view/34688839")</f>
        <v>https://my.zakupki.prom.ua/remote/dispatcher/state_purchase_view/34688839</v>
      </c>
      <c r="C486" s="1" t="s">
        <v>3410</v>
      </c>
      <c r="D486" s="1" t="s">
        <v>463</v>
      </c>
      <c r="E486" s="1" t="s">
        <v>4903</v>
      </c>
      <c r="F486" s="1" t="s">
        <v>4903</v>
      </c>
      <c r="G486" s="1" t="s">
        <v>4903</v>
      </c>
      <c r="H486" s="1" t="s">
        <v>322</v>
      </c>
      <c r="I486" s="1" t="s">
        <v>2834</v>
      </c>
      <c r="J486" s="5">
        <v>199950</v>
      </c>
      <c r="K486" s="1" t="s">
        <v>3394</v>
      </c>
      <c r="L486" s="5">
        <v>1999.5</v>
      </c>
      <c r="M486" s="1" t="s">
        <v>2308</v>
      </c>
      <c r="N486" s="1" t="s">
        <v>3983</v>
      </c>
      <c r="O486" s="1" t="s">
        <v>2521</v>
      </c>
      <c r="P486" s="1" t="s">
        <v>3956</v>
      </c>
      <c r="Q486" s="1" t="s">
        <v>4834</v>
      </c>
      <c r="R486" s="1" t="s">
        <v>4498</v>
      </c>
      <c r="S486" s="1" t="s">
        <v>4937</v>
      </c>
      <c r="T486" s="6">
        <v>44593</v>
      </c>
      <c r="U486" s="6">
        <v>44599</v>
      </c>
      <c r="V486" s="7">
        <v>0.52725694444444449</v>
      </c>
      <c r="W486" s="6">
        <v>44602</v>
      </c>
      <c r="X486" s="7">
        <v>0.52725694444444449</v>
      </c>
      <c r="Y486" s="1" t="s">
        <v>4860</v>
      </c>
      <c r="Z486" s="5">
        <v>340</v>
      </c>
      <c r="AA486" s="1" t="s">
        <v>3403</v>
      </c>
      <c r="AB486" s="1"/>
      <c r="AC486" s="1"/>
      <c r="AD486" s="1"/>
      <c r="AE486" s="1" t="s">
        <v>3774</v>
      </c>
      <c r="AF486" s="1" t="s">
        <v>9</v>
      </c>
      <c r="AG486" s="4">
        <v>1</v>
      </c>
      <c r="AH486" s="1"/>
      <c r="AI486" s="6">
        <v>44926</v>
      </c>
    </row>
    <row r="487" spans="1:35" x14ac:dyDescent="0.3">
      <c r="A487" s="1" t="s">
        <v>1657</v>
      </c>
      <c r="B487" s="2" t="str">
        <f>HYPERLINK("https://my.zakupki.prom.ua/remote/dispatcher/state_purchase_lot_view/740726")</f>
        <v>https://my.zakupki.prom.ua/remote/dispatcher/state_purchase_lot_view/740726</v>
      </c>
      <c r="C487" s="1" t="s">
        <v>3673</v>
      </c>
      <c r="D487" s="1" t="s">
        <v>485</v>
      </c>
      <c r="E487" s="1" t="s">
        <v>4903</v>
      </c>
      <c r="F487" s="1" t="s">
        <v>4903</v>
      </c>
      <c r="G487" s="1" t="s">
        <v>4903</v>
      </c>
      <c r="H487" s="1" t="s">
        <v>963</v>
      </c>
      <c r="I487" s="1" t="s">
        <v>2854</v>
      </c>
      <c r="J487" s="5">
        <v>130000</v>
      </c>
      <c r="K487" s="5">
        <v>130000</v>
      </c>
      <c r="L487" s="5">
        <v>650</v>
      </c>
      <c r="M487" s="1" t="s">
        <v>2308</v>
      </c>
      <c r="N487" s="1" t="s">
        <v>3983</v>
      </c>
      <c r="O487" s="1" t="s">
        <v>2521</v>
      </c>
      <c r="P487" s="1" t="s">
        <v>3956</v>
      </c>
      <c r="Q487" s="1" t="s">
        <v>2820</v>
      </c>
      <c r="R487" s="1" t="s">
        <v>4081</v>
      </c>
      <c r="S487" s="1" t="s">
        <v>4937</v>
      </c>
      <c r="T487" s="6">
        <v>44593</v>
      </c>
      <c r="U487" s="6">
        <v>44599</v>
      </c>
      <c r="V487" s="7">
        <v>0.83333333333333337</v>
      </c>
      <c r="W487" s="6">
        <v>44602</v>
      </c>
      <c r="X487" s="7">
        <v>0</v>
      </c>
      <c r="Y487" s="1" t="s">
        <v>4860</v>
      </c>
      <c r="Z487" s="5">
        <v>340</v>
      </c>
      <c r="AA487" s="1" t="s">
        <v>3403</v>
      </c>
      <c r="AB487" s="1"/>
      <c r="AC487" s="1"/>
      <c r="AD487" s="1"/>
      <c r="AE487" s="1" t="s">
        <v>3788</v>
      </c>
      <c r="AF487" s="1" t="s">
        <v>9</v>
      </c>
      <c r="AG487" s="4">
        <v>10</v>
      </c>
      <c r="AH487" s="1"/>
      <c r="AI487" s="6">
        <v>44926</v>
      </c>
    </row>
    <row r="488" spans="1:35" x14ac:dyDescent="0.3">
      <c r="A488" s="1" t="s">
        <v>2066</v>
      </c>
      <c r="B488" s="2" t="str">
        <f>HYPERLINK("https://my.zakupki.prom.ua/remote/dispatcher/state_purchase_view/34688797")</f>
        <v>https://my.zakupki.prom.ua/remote/dispatcher/state_purchase_view/34688797</v>
      </c>
      <c r="C488" s="1" t="s">
        <v>3021</v>
      </c>
      <c r="D488" s="1" t="s">
        <v>208</v>
      </c>
      <c r="E488" s="1" t="s">
        <v>4903</v>
      </c>
      <c r="F488" s="1" t="s">
        <v>4903</v>
      </c>
      <c r="G488" s="1" t="s">
        <v>4903</v>
      </c>
      <c r="H488" s="1" t="s">
        <v>202</v>
      </c>
      <c r="I488" s="1" t="s">
        <v>3961</v>
      </c>
      <c r="J488" s="5">
        <v>24950</v>
      </c>
      <c r="K488" s="1" t="s">
        <v>3394</v>
      </c>
      <c r="L488" s="5">
        <v>124.75</v>
      </c>
      <c r="M488" s="1" t="s">
        <v>2308</v>
      </c>
      <c r="N488" s="1" t="s">
        <v>3983</v>
      </c>
      <c r="O488" s="1" t="s">
        <v>2521</v>
      </c>
      <c r="P488" s="1" t="s">
        <v>3956</v>
      </c>
      <c r="Q488" s="1" t="s">
        <v>3325</v>
      </c>
      <c r="R488" s="1" t="s">
        <v>4304</v>
      </c>
      <c r="S488" s="1" t="s">
        <v>4937</v>
      </c>
      <c r="T488" s="6">
        <v>44593</v>
      </c>
      <c r="U488" s="6">
        <v>44597</v>
      </c>
      <c r="V488" s="7">
        <v>0.54084490740740743</v>
      </c>
      <c r="W488" s="6">
        <v>44602</v>
      </c>
      <c r="X488" s="7">
        <v>0.54084490740740743</v>
      </c>
      <c r="Y488" s="1" t="s">
        <v>4860</v>
      </c>
      <c r="Z488" s="5">
        <v>119</v>
      </c>
      <c r="AA488" s="1" t="s">
        <v>3403</v>
      </c>
      <c r="AB488" s="1"/>
      <c r="AC488" s="1"/>
      <c r="AD488" s="1"/>
      <c r="AE488" s="1" t="s">
        <v>3801</v>
      </c>
      <c r="AF488" s="1" t="s">
        <v>9</v>
      </c>
      <c r="AG488" s="1" t="s">
        <v>9</v>
      </c>
      <c r="AH488" s="1"/>
      <c r="AI488" s="6">
        <v>44926</v>
      </c>
    </row>
    <row r="489" spans="1:35" x14ac:dyDescent="0.3">
      <c r="A489" s="1" t="s">
        <v>1663</v>
      </c>
      <c r="B489" s="2" t="str">
        <f>HYPERLINK("https://my.zakupki.prom.ua/remote/dispatcher/state_purchase_view/34688794")</f>
        <v>https://my.zakupki.prom.ua/remote/dispatcher/state_purchase_view/34688794</v>
      </c>
      <c r="C489" s="1" t="s">
        <v>3432</v>
      </c>
      <c r="D489" s="1" t="s">
        <v>470</v>
      </c>
      <c r="E489" s="4">
        <v>4220</v>
      </c>
      <c r="F489" s="5">
        <v>75</v>
      </c>
      <c r="G489" s="1" t="s">
        <v>4902</v>
      </c>
      <c r="H489" s="1" t="s">
        <v>674</v>
      </c>
      <c r="I489" s="1" t="s">
        <v>3396</v>
      </c>
      <c r="J489" s="5">
        <v>316500</v>
      </c>
      <c r="K489" s="1" t="s">
        <v>3394</v>
      </c>
      <c r="L489" s="5">
        <v>3165</v>
      </c>
      <c r="M489" s="1" t="s">
        <v>2308</v>
      </c>
      <c r="N489" s="1" t="s">
        <v>3983</v>
      </c>
      <c r="O489" s="1" t="s">
        <v>2521</v>
      </c>
      <c r="P489" s="1" t="s">
        <v>2515</v>
      </c>
      <c r="Q489" s="1" t="s">
        <v>3035</v>
      </c>
      <c r="R489" s="1" t="s">
        <v>4159</v>
      </c>
      <c r="S489" s="1" t="s">
        <v>4971</v>
      </c>
      <c r="T489" s="6">
        <v>44593</v>
      </c>
      <c r="U489" s="6">
        <v>44593</v>
      </c>
      <c r="V489" s="7">
        <v>0.53933010589120367</v>
      </c>
      <c r="W489" s="6">
        <v>44609</v>
      </c>
      <c r="X489" s="7">
        <v>0</v>
      </c>
      <c r="Y489" s="8">
        <v>44609.513483796298</v>
      </c>
      <c r="Z489" s="5">
        <v>510</v>
      </c>
      <c r="AA489" s="1" t="s">
        <v>3403</v>
      </c>
      <c r="AB489" s="1"/>
      <c r="AC489" s="1"/>
      <c r="AD489" s="1"/>
      <c r="AE489" s="1" t="s">
        <v>3788</v>
      </c>
      <c r="AF489" s="1" t="s">
        <v>9</v>
      </c>
      <c r="AG489" s="4">
        <v>13</v>
      </c>
      <c r="AH489" s="1"/>
      <c r="AI489" s="6">
        <v>44923</v>
      </c>
    </row>
    <row r="490" spans="1:35" x14ac:dyDescent="0.3">
      <c r="A490" s="1" t="s">
        <v>1948</v>
      </c>
      <c r="B490" s="2" t="str">
        <f>HYPERLINK("https://my.zakupki.prom.ua/remote/dispatcher/state_purchase_view/34688772")</f>
        <v>https://my.zakupki.prom.ua/remote/dispatcher/state_purchase_view/34688772</v>
      </c>
      <c r="C490" s="1" t="s">
        <v>2413</v>
      </c>
      <c r="D490" s="1" t="s">
        <v>373</v>
      </c>
      <c r="E490" s="1" t="s">
        <v>4903</v>
      </c>
      <c r="F490" s="1" t="s">
        <v>4903</v>
      </c>
      <c r="G490" s="1" t="s">
        <v>4903</v>
      </c>
      <c r="H490" s="1" t="s">
        <v>552</v>
      </c>
      <c r="I490" s="1" t="s">
        <v>2852</v>
      </c>
      <c r="J490" s="5">
        <v>340000</v>
      </c>
      <c r="K490" s="1" t="s">
        <v>3394</v>
      </c>
      <c r="L490" s="5">
        <v>1700</v>
      </c>
      <c r="M490" s="1" t="s">
        <v>2308</v>
      </c>
      <c r="N490" s="1" t="s">
        <v>3983</v>
      </c>
      <c r="O490" s="1" t="s">
        <v>2521</v>
      </c>
      <c r="P490" s="1" t="s">
        <v>2515</v>
      </c>
      <c r="Q490" s="1" t="s">
        <v>3264</v>
      </c>
      <c r="R490" s="1" t="s">
        <v>4081</v>
      </c>
      <c r="S490" s="1" t="s">
        <v>4971</v>
      </c>
      <c r="T490" s="6">
        <v>44593</v>
      </c>
      <c r="U490" s="6">
        <v>44593</v>
      </c>
      <c r="V490" s="7">
        <v>0.49349071325231486</v>
      </c>
      <c r="W490" s="6">
        <v>44609</v>
      </c>
      <c r="X490" s="7">
        <v>0.70833333333333337</v>
      </c>
      <c r="Y490" s="8">
        <v>44610.47246527778</v>
      </c>
      <c r="Z490" s="5">
        <v>510</v>
      </c>
      <c r="AA490" s="1" t="s">
        <v>3403</v>
      </c>
      <c r="AB490" s="1"/>
      <c r="AC490" s="1"/>
      <c r="AD490" s="1"/>
      <c r="AE490" s="1" t="s">
        <v>3788</v>
      </c>
      <c r="AF490" s="1" t="s">
        <v>9</v>
      </c>
      <c r="AG490" s="4">
        <v>9</v>
      </c>
      <c r="AH490" s="1"/>
      <c r="AI490" s="6">
        <v>44926</v>
      </c>
    </row>
    <row r="491" spans="1:35" x14ac:dyDescent="0.3">
      <c r="A491" s="1" t="s">
        <v>1408</v>
      </c>
      <c r="B491" s="2" t="str">
        <f>HYPERLINK("https://my.zakupki.prom.ua/remote/dispatcher/state_purchase_view/34688741")</f>
        <v>https://my.zakupki.prom.ua/remote/dispatcher/state_purchase_view/34688741</v>
      </c>
      <c r="C491" s="1" t="s">
        <v>2749</v>
      </c>
      <c r="D491" s="1" t="s">
        <v>373</v>
      </c>
      <c r="E491" s="4">
        <v>2400</v>
      </c>
      <c r="F491" s="5">
        <v>30</v>
      </c>
      <c r="G491" s="1" t="s">
        <v>4908</v>
      </c>
      <c r="H491" s="1" t="s">
        <v>612</v>
      </c>
      <c r="I491" s="1" t="s">
        <v>3935</v>
      </c>
      <c r="J491" s="5">
        <v>72000</v>
      </c>
      <c r="K491" s="1" t="s">
        <v>3394</v>
      </c>
      <c r="L491" s="5">
        <v>360</v>
      </c>
      <c r="M491" s="1" t="s">
        <v>2308</v>
      </c>
      <c r="N491" s="1" t="s">
        <v>3983</v>
      </c>
      <c r="O491" s="1" t="s">
        <v>2521</v>
      </c>
      <c r="P491" s="1" t="s">
        <v>2762</v>
      </c>
      <c r="Q491" s="1" t="s">
        <v>3878</v>
      </c>
      <c r="R491" s="1" t="s">
        <v>4489</v>
      </c>
      <c r="S491" s="1" t="s">
        <v>4937</v>
      </c>
      <c r="T491" s="6">
        <v>44593</v>
      </c>
      <c r="U491" s="6">
        <v>44599</v>
      </c>
      <c r="V491" s="7">
        <v>0.54056712962962961</v>
      </c>
      <c r="W491" s="6">
        <v>44602</v>
      </c>
      <c r="X491" s="7">
        <v>0.54056712962962961</v>
      </c>
      <c r="Y491" s="1" t="s">
        <v>4860</v>
      </c>
      <c r="Z491" s="5">
        <v>340</v>
      </c>
      <c r="AA491" s="1" t="s">
        <v>3403</v>
      </c>
      <c r="AB491" s="1"/>
      <c r="AC491" s="1"/>
      <c r="AD491" s="1"/>
      <c r="AE491" s="1" t="s">
        <v>3803</v>
      </c>
      <c r="AF491" s="1" t="s">
        <v>9</v>
      </c>
      <c r="AG491" s="1" t="s">
        <v>9</v>
      </c>
      <c r="AH491" s="1"/>
      <c r="AI491" s="6">
        <v>44926</v>
      </c>
    </row>
    <row r="492" spans="1:35" x14ac:dyDescent="0.3">
      <c r="A492" s="1" t="s">
        <v>1641</v>
      </c>
      <c r="B492" s="2" t="str">
        <f>HYPERLINK("https://my.zakupki.prom.ua/remote/dispatcher/state_purchase_view/34688710")</f>
        <v>https://my.zakupki.prom.ua/remote/dispatcher/state_purchase_view/34688710</v>
      </c>
      <c r="C492" s="1" t="s">
        <v>3309</v>
      </c>
      <c r="D492" s="1" t="s">
        <v>780</v>
      </c>
      <c r="E492" s="1" t="s">
        <v>4903</v>
      </c>
      <c r="F492" s="1" t="s">
        <v>4903</v>
      </c>
      <c r="G492" s="1" t="s">
        <v>4903</v>
      </c>
      <c r="H492" s="1" t="s">
        <v>816</v>
      </c>
      <c r="I492" s="1" t="s">
        <v>3143</v>
      </c>
      <c r="J492" s="5">
        <v>154000</v>
      </c>
      <c r="K492" s="1" t="s">
        <v>3394</v>
      </c>
      <c r="L492" s="5">
        <v>770</v>
      </c>
      <c r="M492" s="1" t="s">
        <v>2308</v>
      </c>
      <c r="N492" s="1" t="s">
        <v>3983</v>
      </c>
      <c r="O492" s="1" t="s">
        <v>2521</v>
      </c>
      <c r="P492" s="1" t="s">
        <v>2515</v>
      </c>
      <c r="Q492" s="1" t="s">
        <v>3878</v>
      </c>
      <c r="R492" s="1" t="s">
        <v>4100</v>
      </c>
      <c r="S492" s="1" t="s">
        <v>4971</v>
      </c>
      <c r="T492" s="6">
        <v>44593</v>
      </c>
      <c r="U492" s="6">
        <v>44593</v>
      </c>
      <c r="V492" s="7">
        <v>0.52823356462962967</v>
      </c>
      <c r="W492" s="6">
        <v>44610</v>
      </c>
      <c r="X492" s="7">
        <v>0.375</v>
      </c>
      <c r="Y492" s="8">
        <v>44613.583877314813</v>
      </c>
      <c r="Z492" s="5">
        <v>340</v>
      </c>
      <c r="AA492" s="1" t="s">
        <v>3403</v>
      </c>
      <c r="AB492" s="1"/>
      <c r="AC492" s="1"/>
      <c r="AD492" s="1"/>
      <c r="AE492" s="1" t="s">
        <v>3765</v>
      </c>
      <c r="AF492" s="1" t="s">
        <v>9</v>
      </c>
      <c r="AG492" s="4">
        <v>4</v>
      </c>
      <c r="AH492" s="1"/>
      <c r="AI492" s="6">
        <v>44926</v>
      </c>
    </row>
    <row r="493" spans="1:35" x14ac:dyDescent="0.3">
      <c r="A493" s="1" t="s">
        <v>1410</v>
      </c>
      <c r="B493" s="2" t="str">
        <f>HYPERLINK("https://my.zakupki.prom.ua/remote/dispatcher/state_purchase_view/34688703")</f>
        <v>https://my.zakupki.prom.ua/remote/dispatcher/state_purchase_view/34688703</v>
      </c>
      <c r="C493" s="1" t="s">
        <v>3213</v>
      </c>
      <c r="D493" s="1" t="s">
        <v>1091</v>
      </c>
      <c r="E493" s="4">
        <v>15</v>
      </c>
      <c r="F493" s="5">
        <v>4401.33</v>
      </c>
      <c r="G493" s="1" t="s">
        <v>4924</v>
      </c>
      <c r="H493" s="1" t="s">
        <v>667</v>
      </c>
      <c r="I493" s="1" t="s">
        <v>2819</v>
      </c>
      <c r="J493" s="5">
        <v>66020</v>
      </c>
      <c r="K493" s="1" t="s">
        <v>3394</v>
      </c>
      <c r="L493" s="5">
        <v>330.1</v>
      </c>
      <c r="M493" s="1" t="s">
        <v>2308</v>
      </c>
      <c r="N493" s="1" t="s">
        <v>3983</v>
      </c>
      <c r="O493" s="1" t="s">
        <v>2521</v>
      </c>
      <c r="P493" s="1" t="s">
        <v>3956</v>
      </c>
      <c r="Q493" s="1" t="s">
        <v>2820</v>
      </c>
      <c r="R493" s="1" t="s">
        <v>4350</v>
      </c>
      <c r="S493" s="1" t="s">
        <v>4937</v>
      </c>
      <c r="T493" s="6">
        <v>44593</v>
      </c>
      <c r="U493" s="6">
        <v>44599</v>
      </c>
      <c r="V493" s="7">
        <v>0.54096064814814815</v>
      </c>
      <c r="W493" s="6">
        <v>44602</v>
      </c>
      <c r="X493" s="7">
        <v>0.54096064814814815</v>
      </c>
      <c r="Y493" s="1" t="s">
        <v>4860</v>
      </c>
      <c r="Z493" s="5">
        <v>340</v>
      </c>
      <c r="AA493" s="1" t="s">
        <v>3403</v>
      </c>
      <c r="AB493" s="1"/>
      <c r="AC493" s="1"/>
      <c r="AD493" s="1"/>
      <c r="AE493" s="1" t="s">
        <v>3765</v>
      </c>
      <c r="AF493" s="1" t="s">
        <v>9</v>
      </c>
      <c r="AG493" s="4">
        <v>2</v>
      </c>
      <c r="AH493" s="1"/>
      <c r="AI493" s="6">
        <v>44926</v>
      </c>
    </row>
    <row r="494" spans="1:35" x14ac:dyDescent="0.3">
      <c r="A494" s="1" t="s">
        <v>2080</v>
      </c>
      <c r="B494" s="2" t="str">
        <f>HYPERLINK("https://my.zakupki.prom.ua/remote/dispatcher/state_purchase_view/34688661")</f>
        <v>https://my.zakupki.prom.ua/remote/dispatcher/state_purchase_view/34688661</v>
      </c>
      <c r="C494" s="1" t="s">
        <v>2666</v>
      </c>
      <c r="D494" s="1" t="s">
        <v>475</v>
      </c>
      <c r="E494" s="1" t="s">
        <v>4903</v>
      </c>
      <c r="F494" s="1" t="s">
        <v>4903</v>
      </c>
      <c r="G494" s="1" t="s">
        <v>4903</v>
      </c>
      <c r="H494" s="1" t="s">
        <v>854</v>
      </c>
      <c r="I494" s="1" t="s">
        <v>4023</v>
      </c>
      <c r="J494" s="5">
        <v>192000</v>
      </c>
      <c r="K494" s="1" t="s">
        <v>3394</v>
      </c>
      <c r="L494" s="5">
        <v>1920</v>
      </c>
      <c r="M494" s="1" t="s">
        <v>2308</v>
      </c>
      <c r="N494" s="1" t="s">
        <v>3983</v>
      </c>
      <c r="O494" s="1" t="s">
        <v>2521</v>
      </c>
      <c r="P494" s="1" t="s">
        <v>3956</v>
      </c>
      <c r="Q494" s="1" t="s">
        <v>2808</v>
      </c>
      <c r="R494" s="1" t="s">
        <v>4260</v>
      </c>
      <c r="S494" s="1" t="s">
        <v>4937</v>
      </c>
      <c r="T494" s="6">
        <v>44593</v>
      </c>
      <c r="U494" s="6">
        <v>44599</v>
      </c>
      <c r="V494" s="7">
        <v>0</v>
      </c>
      <c r="W494" s="6">
        <v>44602</v>
      </c>
      <c r="X494" s="7">
        <v>0</v>
      </c>
      <c r="Y494" s="1" t="s">
        <v>4860</v>
      </c>
      <c r="Z494" s="5">
        <v>340</v>
      </c>
      <c r="AA494" s="1" t="s">
        <v>3403</v>
      </c>
      <c r="AB494" s="1"/>
      <c r="AC494" s="1"/>
      <c r="AD494" s="1"/>
      <c r="AE494" s="1" t="s">
        <v>3801</v>
      </c>
      <c r="AF494" s="1" t="s">
        <v>9</v>
      </c>
      <c r="AG494" s="1" t="s">
        <v>9</v>
      </c>
      <c r="AH494" s="1"/>
      <c r="AI494" s="6">
        <v>44926</v>
      </c>
    </row>
    <row r="495" spans="1:35" x14ac:dyDescent="0.3">
      <c r="A495" s="1" t="s">
        <v>2079</v>
      </c>
      <c r="B495" s="2" t="str">
        <f>HYPERLINK("https://my.zakupki.prom.ua/remote/dispatcher/state_purchase_lot_view/740692")</f>
        <v>https://my.zakupki.prom.ua/remote/dispatcher/state_purchase_lot_view/740692</v>
      </c>
      <c r="C495" s="1" t="s">
        <v>4769</v>
      </c>
      <c r="D495" s="1" t="s">
        <v>802</v>
      </c>
      <c r="E495" s="1" t="s">
        <v>4903</v>
      </c>
      <c r="F495" s="1" t="s">
        <v>4903</v>
      </c>
      <c r="G495" s="1" t="s">
        <v>4903</v>
      </c>
      <c r="H495" s="1" t="s">
        <v>645</v>
      </c>
      <c r="I495" s="1" t="s">
        <v>2879</v>
      </c>
      <c r="J495" s="5">
        <v>7300000</v>
      </c>
      <c r="K495" s="5">
        <v>4800000</v>
      </c>
      <c r="L495" s="5">
        <v>72000</v>
      </c>
      <c r="M495" s="1" t="s">
        <v>2308</v>
      </c>
      <c r="N495" s="1" t="s">
        <v>3983</v>
      </c>
      <c r="O495" s="1" t="s">
        <v>2521</v>
      </c>
      <c r="P495" s="1" t="s">
        <v>2516</v>
      </c>
      <c r="Q495" s="1" t="s">
        <v>2334</v>
      </c>
      <c r="R495" s="1" t="s">
        <v>4161</v>
      </c>
      <c r="S495" s="1" t="s">
        <v>4971</v>
      </c>
      <c r="T495" s="6">
        <v>44593</v>
      </c>
      <c r="U495" s="6">
        <v>44593</v>
      </c>
      <c r="V495" s="7">
        <v>0.54138058303240744</v>
      </c>
      <c r="W495" s="6">
        <v>44624</v>
      </c>
      <c r="X495" s="7">
        <v>0.375</v>
      </c>
      <c r="Y495" s="8">
        <v>44662.593912037039</v>
      </c>
      <c r="Z495" s="5">
        <v>3400</v>
      </c>
      <c r="AA495" s="1" t="s">
        <v>3403</v>
      </c>
      <c r="AB495" s="1"/>
      <c r="AC495" s="1"/>
      <c r="AD495" s="1"/>
      <c r="AE495" s="1" t="s">
        <v>3768</v>
      </c>
      <c r="AF495" s="1" t="s">
        <v>9</v>
      </c>
      <c r="AG495" s="4">
        <v>2</v>
      </c>
      <c r="AH495" s="1"/>
      <c r="AI495" s="6">
        <v>44926</v>
      </c>
    </row>
    <row r="496" spans="1:35" x14ac:dyDescent="0.3">
      <c r="A496" s="1" t="s">
        <v>2079</v>
      </c>
      <c r="B496" s="2" t="str">
        <f>HYPERLINK("https://my.zakupki.prom.ua/remote/dispatcher/state_purchase_lot_view/740725")</f>
        <v>https://my.zakupki.prom.ua/remote/dispatcher/state_purchase_lot_view/740725</v>
      </c>
      <c r="C496" s="1" t="s">
        <v>4768</v>
      </c>
      <c r="D496" s="1" t="s">
        <v>795</v>
      </c>
      <c r="E496" s="1" t="s">
        <v>4903</v>
      </c>
      <c r="F496" s="1" t="s">
        <v>4903</v>
      </c>
      <c r="G496" s="1" t="s">
        <v>4903</v>
      </c>
      <c r="H496" s="1" t="s">
        <v>645</v>
      </c>
      <c r="I496" s="1" t="s">
        <v>2879</v>
      </c>
      <c r="J496" s="5">
        <v>7300000</v>
      </c>
      <c r="K496" s="5">
        <v>2500000</v>
      </c>
      <c r="L496" s="5">
        <v>37500</v>
      </c>
      <c r="M496" s="1" t="s">
        <v>2308</v>
      </c>
      <c r="N496" s="1" t="s">
        <v>3983</v>
      </c>
      <c r="O496" s="1" t="s">
        <v>2521</v>
      </c>
      <c r="P496" s="1" t="s">
        <v>2516</v>
      </c>
      <c r="Q496" s="1" t="s">
        <v>2334</v>
      </c>
      <c r="R496" s="1" t="s">
        <v>4389</v>
      </c>
      <c r="S496" s="1" t="s">
        <v>4971</v>
      </c>
      <c r="T496" s="6">
        <v>44593</v>
      </c>
      <c r="U496" s="6">
        <v>44593</v>
      </c>
      <c r="V496" s="7">
        <v>0.54138058303240744</v>
      </c>
      <c r="W496" s="6">
        <v>44624</v>
      </c>
      <c r="X496" s="7">
        <v>0.375</v>
      </c>
      <c r="Y496" s="8">
        <v>44662.620300925926</v>
      </c>
      <c r="Z496" s="5">
        <v>1700</v>
      </c>
      <c r="AA496" s="1" t="s">
        <v>3403</v>
      </c>
      <c r="AB496" s="1"/>
      <c r="AC496" s="1"/>
      <c r="AD496" s="1"/>
      <c r="AE496" s="1" t="s">
        <v>3768</v>
      </c>
      <c r="AF496" s="1" t="s">
        <v>9</v>
      </c>
      <c r="AG496" s="4">
        <v>2</v>
      </c>
      <c r="AH496" s="1"/>
      <c r="AI496" s="6">
        <v>44926</v>
      </c>
    </row>
    <row r="497" spans="1:35" x14ac:dyDescent="0.3">
      <c r="A497" s="1" t="s">
        <v>2078</v>
      </c>
      <c r="B497" s="2" t="str">
        <f>HYPERLINK("https://my.zakupki.prom.ua/remote/dispatcher/state_purchase_view/34688644")</f>
        <v>https://my.zakupki.prom.ua/remote/dispatcher/state_purchase_view/34688644</v>
      </c>
      <c r="C497" s="1" t="s">
        <v>2790</v>
      </c>
      <c r="D497" s="1" t="s">
        <v>1091</v>
      </c>
      <c r="E497" s="4">
        <v>900</v>
      </c>
      <c r="F497" s="5">
        <v>20722.22</v>
      </c>
      <c r="G497" s="1" t="s">
        <v>4983</v>
      </c>
      <c r="H497" s="1" t="s">
        <v>261</v>
      </c>
      <c r="I497" s="1" t="s">
        <v>2952</v>
      </c>
      <c r="J497" s="5">
        <v>18650000</v>
      </c>
      <c r="K497" s="1" t="s">
        <v>3394</v>
      </c>
      <c r="L497" s="5">
        <v>93250</v>
      </c>
      <c r="M497" s="1" t="s">
        <v>2308</v>
      </c>
      <c r="N497" s="1" t="s">
        <v>3983</v>
      </c>
      <c r="O497" s="1" t="s">
        <v>1153</v>
      </c>
      <c r="P497" s="1" t="s">
        <v>2516</v>
      </c>
      <c r="Q497" s="1" t="s">
        <v>4794</v>
      </c>
      <c r="R497" s="1" t="s">
        <v>4618</v>
      </c>
      <c r="S497" s="1" t="s">
        <v>4971</v>
      </c>
      <c r="T497" s="6">
        <v>44593</v>
      </c>
      <c r="U497" s="6">
        <v>44593</v>
      </c>
      <c r="V497" s="7">
        <v>0.54099061591435182</v>
      </c>
      <c r="W497" s="6">
        <v>44624</v>
      </c>
      <c r="X497" s="7">
        <v>0.41666666666666669</v>
      </c>
      <c r="Y497" s="8">
        <v>44662.575173611112</v>
      </c>
      <c r="Z497" s="5">
        <v>3400</v>
      </c>
      <c r="AA497" s="1" t="s">
        <v>3403</v>
      </c>
      <c r="AB497" s="1"/>
      <c r="AC497" s="1"/>
      <c r="AD497" s="1"/>
      <c r="AE497" s="1" t="s">
        <v>3800</v>
      </c>
      <c r="AF497" s="1" t="s">
        <v>9</v>
      </c>
      <c r="AG497" s="4">
        <v>20</v>
      </c>
      <c r="AH497" s="1"/>
      <c r="AI497" s="6">
        <v>44926</v>
      </c>
    </row>
    <row r="498" spans="1:35" x14ac:dyDescent="0.3">
      <c r="A498" s="1" t="s">
        <v>2053</v>
      </c>
      <c r="B498" s="2" t="str">
        <f>HYPERLINK("https://my.zakupki.prom.ua/remote/dispatcher/state_purchase_view/34688622")</f>
        <v>https://my.zakupki.prom.ua/remote/dispatcher/state_purchase_view/34688622</v>
      </c>
      <c r="C498" s="1" t="s">
        <v>4775</v>
      </c>
      <c r="D498" s="1" t="s">
        <v>631</v>
      </c>
      <c r="E498" s="1" t="s">
        <v>4903</v>
      </c>
      <c r="F498" s="1" t="s">
        <v>4903</v>
      </c>
      <c r="G498" s="1" t="s">
        <v>4903</v>
      </c>
      <c r="H498" s="1" t="s">
        <v>932</v>
      </c>
      <c r="I498" s="1" t="s">
        <v>3181</v>
      </c>
      <c r="J498" s="5">
        <v>166000</v>
      </c>
      <c r="K498" s="1" t="s">
        <v>3394</v>
      </c>
      <c r="L498" s="5">
        <v>830</v>
      </c>
      <c r="M498" s="1" t="s">
        <v>2308</v>
      </c>
      <c r="N498" s="1" t="s">
        <v>3983</v>
      </c>
      <c r="O498" s="1" t="s">
        <v>2521</v>
      </c>
      <c r="P498" s="1" t="s">
        <v>3956</v>
      </c>
      <c r="Q498" s="1" t="s">
        <v>3325</v>
      </c>
      <c r="R498" s="1" t="s">
        <v>4074</v>
      </c>
      <c r="S498" s="1" t="s">
        <v>4937</v>
      </c>
      <c r="T498" s="6">
        <v>44593</v>
      </c>
      <c r="U498" s="6">
        <v>44599</v>
      </c>
      <c r="V498" s="7">
        <v>0.66666666666666663</v>
      </c>
      <c r="W498" s="6">
        <v>44602</v>
      </c>
      <c r="X498" s="7">
        <v>0.66666666666666663</v>
      </c>
      <c r="Y498" s="1" t="s">
        <v>4860</v>
      </c>
      <c r="Z498" s="5">
        <v>340</v>
      </c>
      <c r="AA498" s="1" t="s">
        <v>3403</v>
      </c>
      <c r="AB498" s="1"/>
      <c r="AC498" s="1"/>
      <c r="AD498" s="1"/>
      <c r="AE498" s="1" t="s">
        <v>3768</v>
      </c>
      <c r="AF498" s="1" t="s">
        <v>9</v>
      </c>
      <c r="AG498" s="1" t="s">
        <v>9</v>
      </c>
      <c r="AH498" s="1"/>
      <c r="AI498" s="6">
        <v>44926</v>
      </c>
    </row>
    <row r="499" spans="1:35" x14ac:dyDescent="0.3">
      <c r="A499" s="1" t="s">
        <v>1403</v>
      </c>
      <c r="B499" s="2" t="str">
        <f>HYPERLINK("https://my.zakupki.prom.ua/remote/dispatcher/state_purchase_view/34688618")</f>
        <v>https://my.zakupki.prom.ua/remote/dispatcher/state_purchase_view/34688618</v>
      </c>
      <c r="C499" s="1" t="s">
        <v>4757</v>
      </c>
      <c r="D499" s="1" t="s">
        <v>1282</v>
      </c>
      <c r="E499" s="4">
        <v>1</v>
      </c>
      <c r="F499" s="5">
        <v>166500</v>
      </c>
      <c r="G499" s="1" t="s">
        <v>4939</v>
      </c>
      <c r="H499" s="1" t="s">
        <v>128</v>
      </c>
      <c r="I499" s="1" t="s">
        <v>2899</v>
      </c>
      <c r="J499" s="5">
        <v>166500</v>
      </c>
      <c r="K499" s="1" t="s">
        <v>3394</v>
      </c>
      <c r="L499" s="5">
        <v>832.5</v>
      </c>
      <c r="M499" s="1" t="s">
        <v>2308</v>
      </c>
      <c r="N499" s="1" t="s">
        <v>3983</v>
      </c>
      <c r="O499" s="1" t="s">
        <v>2521</v>
      </c>
      <c r="P499" s="1" t="s">
        <v>3956</v>
      </c>
      <c r="Q499" s="1" t="s">
        <v>4798</v>
      </c>
      <c r="R499" s="1" t="s">
        <v>4188</v>
      </c>
      <c r="S499" s="1" t="s">
        <v>4937</v>
      </c>
      <c r="T499" s="6">
        <v>44593</v>
      </c>
      <c r="U499" s="6">
        <v>44599</v>
      </c>
      <c r="V499" s="7">
        <v>0</v>
      </c>
      <c r="W499" s="6">
        <v>44603</v>
      </c>
      <c r="X499" s="7">
        <v>0</v>
      </c>
      <c r="Y499" s="1" t="s">
        <v>4860</v>
      </c>
      <c r="Z499" s="5">
        <v>340</v>
      </c>
      <c r="AA499" s="1" t="s">
        <v>3403</v>
      </c>
      <c r="AB499" s="1"/>
      <c r="AC499" s="1"/>
      <c r="AD499" s="1"/>
      <c r="AE499" s="1" t="s">
        <v>3736</v>
      </c>
      <c r="AF499" s="1" t="s">
        <v>9</v>
      </c>
      <c r="AG499" s="4">
        <v>4</v>
      </c>
      <c r="AH499" s="1"/>
      <c r="AI499" s="6">
        <v>44926</v>
      </c>
    </row>
    <row r="500" spans="1:35" x14ac:dyDescent="0.3">
      <c r="A500" s="1" t="s">
        <v>1664</v>
      </c>
      <c r="B500" s="2" t="str">
        <f>HYPERLINK("https://my.zakupki.prom.ua/remote/dispatcher/state_purchase_view/34688606")</f>
        <v>https://my.zakupki.prom.ua/remote/dispatcher/state_purchase_view/34688606</v>
      </c>
      <c r="C500" s="1" t="s">
        <v>3330</v>
      </c>
      <c r="D500" s="1" t="s">
        <v>471</v>
      </c>
      <c r="E500" s="4">
        <v>3700</v>
      </c>
      <c r="F500" s="5">
        <v>25</v>
      </c>
      <c r="G500" s="1" t="s">
        <v>4902</v>
      </c>
      <c r="H500" s="1" t="s">
        <v>81</v>
      </c>
      <c r="I500" s="1" t="s">
        <v>3104</v>
      </c>
      <c r="J500" s="5">
        <v>92500</v>
      </c>
      <c r="K500" s="1" t="s">
        <v>3394</v>
      </c>
      <c r="L500" s="5">
        <v>462.5</v>
      </c>
      <c r="M500" s="1" t="s">
        <v>2308</v>
      </c>
      <c r="N500" s="1" t="s">
        <v>3983</v>
      </c>
      <c r="O500" s="1" t="s">
        <v>2521</v>
      </c>
      <c r="P500" s="1" t="s">
        <v>3956</v>
      </c>
      <c r="Q500" s="1" t="s">
        <v>2334</v>
      </c>
      <c r="R500" s="1" t="s">
        <v>4079</v>
      </c>
      <c r="S500" s="1" t="s">
        <v>4937</v>
      </c>
      <c r="T500" s="6">
        <v>44593</v>
      </c>
      <c r="U500" s="6">
        <v>44599</v>
      </c>
      <c r="V500" s="7">
        <v>0</v>
      </c>
      <c r="W500" s="6">
        <v>44602</v>
      </c>
      <c r="X500" s="7">
        <v>0.75</v>
      </c>
      <c r="Y500" s="1" t="s">
        <v>4860</v>
      </c>
      <c r="Z500" s="5">
        <v>340</v>
      </c>
      <c r="AA500" s="1" t="s">
        <v>3403</v>
      </c>
      <c r="AB500" s="1"/>
      <c r="AC500" s="1"/>
      <c r="AD500" s="1"/>
      <c r="AE500" s="1" t="s">
        <v>3788</v>
      </c>
      <c r="AF500" s="1" t="s">
        <v>9</v>
      </c>
      <c r="AG500" s="4">
        <v>3</v>
      </c>
      <c r="AH500" s="1"/>
      <c r="AI500" s="6">
        <v>44926</v>
      </c>
    </row>
    <row r="501" spans="1:35" x14ac:dyDescent="0.3">
      <c r="A501" s="1" t="s">
        <v>1658</v>
      </c>
      <c r="B501" s="2" t="str">
        <f>HYPERLINK("https://my.zakupki.prom.ua/remote/dispatcher/state_purchase_view/34688585")</f>
        <v>https://my.zakupki.prom.ua/remote/dispatcher/state_purchase_view/34688585</v>
      </c>
      <c r="C501" s="1" t="s">
        <v>3019</v>
      </c>
      <c r="D501" s="1" t="s">
        <v>211</v>
      </c>
      <c r="E501" s="1" t="s">
        <v>4903</v>
      </c>
      <c r="F501" s="1" t="s">
        <v>4903</v>
      </c>
      <c r="G501" s="1" t="s">
        <v>4903</v>
      </c>
      <c r="H501" s="1" t="s">
        <v>674</v>
      </c>
      <c r="I501" s="1" t="s">
        <v>3396</v>
      </c>
      <c r="J501" s="5">
        <v>569100</v>
      </c>
      <c r="K501" s="1" t="s">
        <v>3394</v>
      </c>
      <c r="L501" s="5">
        <v>5691</v>
      </c>
      <c r="M501" s="1" t="s">
        <v>2308</v>
      </c>
      <c r="N501" s="1" t="s">
        <v>3983</v>
      </c>
      <c r="O501" s="1" t="s">
        <v>2521</v>
      </c>
      <c r="P501" s="1" t="s">
        <v>2515</v>
      </c>
      <c r="Q501" s="1" t="s">
        <v>3035</v>
      </c>
      <c r="R501" s="1" t="s">
        <v>4159</v>
      </c>
      <c r="S501" s="1" t="s">
        <v>4971</v>
      </c>
      <c r="T501" s="6">
        <v>44593</v>
      </c>
      <c r="U501" s="6">
        <v>44593</v>
      </c>
      <c r="V501" s="7">
        <v>0.53628222241898149</v>
      </c>
      <c r="W501" s="6">
        <v>44609</v>
      </c>
      <c r="X501" s="7">
        <v>0</v>
      </c>
      <c r="Y501" s="8">
        <v>44609.652395833335</v>
      </c>
      <c r="Z501" s="5">
        <v>510</v>
      </c>
      <c r="AA501" s="1" t="s">
        <v>3403</v>
      </c>
      <c r="AB501" s="1"/>
      <c r="AC501" s="1"/>
      <c r="AD501" s="1"/>
      <c r="AE501" s="1" t="s">
        <v>3788</v>
      </c>
      <c r="AF501" s="1" t="s">
        <v>9</v>
      </c>
      <c r="AG501" s="4">
        <v>13</v>
      </c>
      <c r="AH501" s="6">
        <v>44621</v>
      </c>
      <c r="AI501" s="6">
        <v>44923</v>
      </c>
    </row>
    <row r="502" spans="1:35" x14ac:dyDescent="0.3">
      <c r="A502" s="1" t="s">
        <v>1642</v>
      </c>
      <c r="B502" s="2" t="str">
        <f>HYPERLINK("https://my.zakupki.prom.ua/remote/dispatcher/state_purchase_view/34688584")</f>
        <v>https://my.zakupki.prom.ua/remote/dispatcher/state_purchase_view/34688584</v>
      </c>
      <c r="C502" s="1" t="s">
        <v>3932</v>
      </c>
      <c r="D502" s="1" t="s">
        <v>779</v>
      </c>
      <c r="E502" s="1" t="s">
        <v>4903</v>
      </c>
      <c r="F502" s="1" t="s">
        <v>4903</v>
      </c>
      <c r="G502" s="1" t="s">
        <v>4903</v>
      </c>
      <c r="H502" s="1" t="s">
        <v>63</v>
      </c>
      <c r="I502" s="1" t="s">
        <v>3093</v>
      </c>
      <c r="J502" s="5">
        <v>219500</v>
      </c>
      <c r="K502" s="1" t="s">
        <v>3394</v>
      </c>
      <c r="L502" s="5">
        <v>1097.5</v>
      </c>
      <c r="M502" s="1" t="s">
        <v>2308</v>
      </c>
      <c r="N502" s="1" t="s">
        <v>3983</v>
      </c>
      <c r="O502" s="1" t="s">
        <v>2521</v>
      </c>
      <c r="P502" s="1" t="s">
        <v>2515</v>
      </c>
      <c r="Q502" s="1" t="s">
        <v>2761</v>
      </c>
      <c r="R502" s="1" t="s">
        <v>4692</v>
      </c>
      <c r="S502" s="1" t="s">
        <v>4971</v>
      </c>
      <c r="T502" s="6">
        <v>44593</v>
      </c>
      <c r="U502" s="6">
        <v>44593</v>
      </c>
      <c r="V502" s="7">
        <v>0.528467067337963</v>
      </c>
      <c r="W502" s="6">
        <v>44609</v>
      </c>
      <c r="X502" s="7">
        <v>0</v>
      </c>
      <c r="Y502" s="8">
        <v>44609.568229166667</v>
      </c>
      <c r="Z502" s="5">
        <v>510</v>
      </c>
      <c r="AA502" s="1" t="s">
        <v>3403</v>
      </c>
      <c r="AB502" s="1"/>
      <c r="AC502" s="1"/>
      <c r="AD502" s="1"/>
      <c r="AE502" s="1" t="s">
        <v>3788</v>
      </c>
      <c r="AF502" s="1" t="s">
        <v>9</v>
      </c>
      <c r="AG502" s="4">
        <v>2</v>
      </c>
      <c r="AH502" s="1"/>
      <c r="AI502" s="6">
        <v>44681</v>
      </c>
    </row>
    <row r="503" spans="1:35" x14ac:dyDescent="0.3">
      <c r="A503" s="1" t="s">
        <v>2052</v>
      </c>
      <c r="B503" s="2" t="str">
        <f>HYPERLINK("https://my.zakupki.prom.ua/remote/dispatcher/state_purchase_view/34688580")</f>
        <v>https://my.zakupki.prom.ua/remote/dispatcher/state_purchase_view/34688580</v>
      </c>
      <c r="C503" s="1" t="s">
        <v>2392</v>
      </c>
      <c r="D503" s="1" t="s">
        <v>1263</v>
      </c>
      <c r="E503" s="4">
        <v>1</v>
      </c>
      <c r="F503" s="5">
        <v>33200</v>
      </c>
      <c r="G503" s="1" t="s">
        <v>4940</v>
      </c>
      <c r="H503" s="1" t="s">
        <v>861</v>
      </c>
      <c r="I503" s="1" t="s">
        <v>3155</v>
      </c>
      <c r="J503" s="5">
        <v>33200</v>
      </c>
      <c r="K503" s="1" t="s">
        <v>3394</v>
      </c>
      <c r="L503" s="5">
        <v>332</v>
      </c>
      <c r="M503" s="1" t="s">
        <v>2308</v>
      </c>
      <c r="N503" s="1" t="s">
        <v>3983</v>
      </c>
      <c r="O503" s="1" t="s">
        <v>2521</v>
      </c>
      <c r="P503" s="1" t="s">
        <v>3956</v>
      </c>
      <c r="Q503" s="1" t="s">
        <v>2820</v>
      </c>
      <c r="R503" s="1" t="s">
        <v>4377</v>
      </c>
      <c r="S503" s="1" t="s">
        <v>4937</v>
      </c>
      <c r="T503" s="6">
        <v>44593</v>
      </c>
      <c r="U503" s="6">
        <v>44601</v>
      </c>
      <c r="V503" s="7">
        <v>0</v>
      </c>
      <c r="W503" s="6">
        <v>44603</v>
      </c>
      <c r="X503" s="7">
        <v>0.53733796296296299</v>
      </c>
      <c r="Y503" s="1" t="s">
        <v>4860</v>
      </c>
      <c r="Z503" s="5">
        <v>119</v>
      </c>
      <c r="AA503" s="1" t="s">
        <v>3403</v>
      </c>
      <c r="AB503" s="1"/>
      <c r="AC503" s="1"/>
      <c r="AD503" s="1"/>
      <c r="AE503" s="1" t="s">
        <v>3750</v>
      </c>
      <c r="AF503" s="1" t="s">
        <v>9</v>
      </c>
      <c r="AG503" s="4">
        <v>3</v>
      </c>
      <c r="AH503" s="1"/>
      <c r="AI503" s="6">
        <v>44926</v>
      </c>
    </row>
    <row r="504" spans="1:35" x14ac:dyDescent="0.3">
      <c r="A504" s="1" t="s">
        <v>1405</v>
      </c>
      <c r="B504" s="2" t="str">
        <f>HYPERLINK("https://my.zakupki.prom.ua/remote/dispatcher/state_purchase_view/34688557")</f>
        <v>https://my.zakupki.prom.ua/remote/dispatcher/state_purchase_view/34688557</v>
      </c>
      <c r="C504" s="1" t="s">
        <v>3217</v>
      </c>
      <c r="D504" s="1" t="s">
        <v>517</v>
      </c>
      <c r="E504" s="4">
        <v>200</v>
      </c>
      <c r="F504" s="5">
        <v>174.85</v>
      </c>
      <c r="G504" s="1" t="s">
        <v>4933</v>
      </c>
      <c r="H504" s="1" t="s">
        <v>264</v>
      </c>
      <c r="I504" s="1" t="s">
        <v>2987</v>
      </c>
      <c r="J504" s="5">
        <v>34970.67</v>
      </c>
      <c r="K504" s="1" t="s">
        <v>3394</v>
      </c>
      <c r="L504" s="5">
        <v>175</v>
      </c>
      <c r="M504" s="1" t="s">
        <v>2308</v>
      </c>
      <c r="N504" s="1" t="s">
        <v>3983</v>
      </c>
      <c r="O504" s="1" t="s">
        <v>2521</v>
      </c>
      <c r="P504" s="1" t="s">
        <v>3956</v>
      </c>
      <c r="Q504" s="1" t="s">
        <v>2761</v>
      </c>
      <c r="R504" s="1" t="s">
        <v>4404</v>
      </c>
      <c r="S504" s="1" t="s">
        <v>4937</v>
      </c>
      <c r="T504" s="6">
        <v>44593</v>
      </c>
      <c r="U504" s="6">
        <v>44599</v>
      </c>
      <c r="V504" s="7">
        <v>0.5393634259259259</v>
      </c>
      <c r="W504" s="6">
        <v>44602</v>
      </c>
      <c r="X504" s="7">
        <v>0.5393634259259259</v>
      </c>
      <c r="Y504" s="1" t="s">
        <v>4860</v>
      </c>
      <c r="Z504" s="5">
        <v>119</v>
      </c>
      <c r="AA504" s="1" t="s">
        <v>3403</v>
      </c>
      <c r="AB504" s="1"/>
      <c r="AC504" s="1"/>
      <c r="AD504" s="1"/>
      <c r="AE504" s="1" t="s">
        <v>3794</v>
      </c>
      <c r="AF504" s="1" t="s">
        <v>9</v>
      </c>
      <c r="AG504" s="4">
        <v>89</v>
      </c>
      <c r="AH504" s="1"/>
      <c r="AI504" s="6">
        <v>44926</v>
      </c>
    </row>
    <row r="505" spans="1:35" x14ac:dyDescent="0.3">
      <c r="A505" s="1" t="s">
        <v>1406</v>
      </c>
      <c r="B505" s="2" t="str">
        <f>HYPERLINK("https://my.zakupki.prom.ua/remote/dispatcher/state_purchase_view/34688552")</f>
        <v>https://my.zakupki.prom.ua/remote/dispatcher/state_purchase_view/34688552</v>
      </c>
      <c r="C505" s="1" t="s">
        <v>3357</v>
      </c>
      <c r="D505" s="1" t="s">
        <v>449</v>
      </c>
      <c r="E505" s="4">
        <v>800</v>
      </c>
      <c r="F505" s="5">
        <v>110</v>
      </c>
      <c r="G505" s="1" t="s">
        <v>4883</v>
      </c>
      <c r="H505" s="1" t="s">
        <v>183</v>
      </c>
      <c r="I505" s="1" t="s">
        <v>2846</v>
      </c>
      <c r="J505" s="5">
        <v>88000</v>
      </c>
      <c r="K505" s="1" t="s">
        <v>3394</v>
      </c>
      <c r="L505" s="5">
        <v>880</v>
      </c>
      <c r="M505" s="1" t="s">
        <v>2308</v>
      </c>
      <c r="N505" s="1" t="s">
        <v>3983</v>
      </c>
      <c r="O505" s="1" t="s">
        <v>2521</v>
      </c>
      <c r="P505" s="1" t="s">
        <v>3956</v>
      </c>
      <c r="Q505" s="1" t="s">
        <v>3264</v>
      </c>
      <c r="R505" s="1" t="s">
        <v>4546</v>
      </c>
      <c r="S505" s="1" t="s">
        <v>4937</v>
      </c>
      <c r="T505" s="6">
        <v>44593</v>
      </c>
      <c r="U505" s="6">
        <v>44597</v>
      </c>
      <c r="V505" s="7">
        <v>0.5</v>
      </c>
      <c r="W505" s="6">
        <v>44602</v>
      </c>
      <c r="X505" s="7">
        <v>0.5</v>
      </c>
      <c r="Y505" s="1" t="s">
        <v>4860</v>
      </c>
      <c r="Z505" s="5">
        <v>340</v>
      </c>
      <c r="AA505" s="1" t="s">
        <v>3403</v>
      </c>
      <c r="AB505" s="1"/>
      <c r="AC505" s="1"/>
      <c r="AD505" s="1"/>
      <c r="AE505" s="1" t="s">
        <v>3788</v>
      </c>
      <c r="AF505" s="1" t="s">
        <v>9</v>
      </c>
      <c r="AG505" s="4">
        <v>5</v>
      </c>
      <c r="AH505" s="1"/>
      <c r="AI505" s="6">
        <v>44926</v>
      </c>
    </row>
    <row r="506" spans="1:35" x14ac:dyDescent="0.3">
      <c r="A506" s="1" t="s">
        <v>1411</v>
      </c>
      <c r="B506" s="2" t="str">
        <f>HYPERLINK("https://my.zakupki.prom.ua/remote/dispatcher/state_purchase_view/34688534")</f>
        <v>https://my.zakupki.prom.ua/remote/dispatcher/state_purchase_view/34688534</v>
      </c>
      <c r="C506" s="1" t="s">
        <v>4945</v>
      </c>
      <c r="D506" s="1" t="s">
        <v>1225</v>
      </c>
      <c r="E506" s="4">
        <v>1</v>
      </c>
      <c r="F506" s="5">
        <v>96000</v>
      </c>
      <c r="G506" s="1" t="s">
        <v>4939</v>
      </c>
      <c r="H506" s="1" t="s">
        <v>168</v>
      </c>
      <c r="I506" s="1" t="s">
        <v>2795</v>
      </c>
      <c r="J506" s="5">
        <v>96000</v>
      </c>
      <c r="K506" s="1" t="s">
        <v>3394</v>
      </c>
      <c r="L506" s="5">
        <v>480</v>
      </c>
      <c r="M506" s="1" t="s">
        <v>2308</v>
      </c>
      <c r="N506" s="1" t="s">
        <v>3983</v>
      </c>
      <c r="O506" s="1" t="s">
        <v>2521</v>
      </c>
      <c r="P506" s="1" t="s">
        <v>3956</v>
      </c>
      <c r="Q506" s="1" t="s">
        <v>2796</v>
      </c>
      <c r="R506" s="1" t="s">
        <v>4163</v>
      </c>
      <c r="S506" s="1" t="s">
        <v>4937</v>
      </c>
      <c r="T506" s="6">
        <v>44593</v>
      </c>
      <c r="U506" s="6">
        <v>44599</v>
      </c>
      <c r="V506" s="7">
        <v>0.53333333333333333</v>
      </c>
      <c r="W506" s="6">
        <v>44602</v>
      </c>
      <c r="X506" s="7">
        <v>0.53333333333333333</v>
      </c>
      <c r="Y506" s="1" t="s">
        <v>4860</v>
      </c>
      <c r="Z506" s="5">
        <v>340</v>
      </c>
      <c r="AA506" s="1" t="s">
        <v>3403</v>
      </c>
      <c r="AB506" s="1"/>
      <c r="AC506" s="1"/>
      <c r="AD506" s="1"/>
      <c r="AE506" s="1" t="s">
        <v>3727</v>
      </c>
      <c r="AF506" s="1" t="s">
        <v>9</v>
      </c>
      <c r="AG506" s="4">
        <v>1</v>
      </c>
      <c r="AH506" s="1"/>
      <c r="AI506" s="6">
        <v>44926</v>
      </c>
    </row>
    <row r="507" spans="1:35" x14ac:dyDescent="0.3">
      <c r="A507" s="1" t="s">
        <v>1407</v>
      </c>
      <c r="B507" s="2" t="str">
        <f>HYPERLINK("https://my.zakupki.prom.ua/remote/dispatcher/state_purchase_view/34688527")</f>
        <v>https://my.zakupki.prom.ua/remote/dispatcher/state_purchase_view/34688527</v>
      </c>
      <c r="C507" s="1" t="s">
        <v>3865</v>
      </c>
      <c r="D507" s="1" t="s">
        <v>1220</v>
      </c>
      <c r="E507" s="4">
        <v>1</v>
      </c>
      <c r="F507" s="5">
        <v>1239132</v>
      </c>
      <c r="G507" s="1" t="s">
        <v>4975</v>
      </c>
      <c r="H507" s="1" t="s">
        <v>20</v>
      </c>
      <c r="I507" s="1" t="s">
        <v>2349</v>
      </c>
      <c r="J507" s="5">
        <v>1239132</v>
      </c>
      <c r="K507" s="1" t="s">
        <v>3394</v>
      </c>
      <c r="L507" s="5">
        <v>12913</v>
      </c>
      <c r="M507" s="1" t="s">
        <v>2308</v>
      </c>
      <c r="N507" s="1" t="s">
        <v>3983</v>
      </c>
      <c r="O507" s="1" t="s">
        <v>391</v>
      </c>
      <c r="P507" s="1" t="s">
        <v>3956</v>
      </c>
      <c r="Q507" s="1" t="s">
        <v>2334</v>
      </c>
      <c r="R507" s="1" t="s">
        <v>4702</v>
      </c>
      <c r="S507" s="1" t="s">
        <v>4937</v>
      </c>
      <c r="T507" s="6">
        <v>44593</v>
      </c>
      <c r="U507" s="6">
        <v>44602</v>
      </c>
      <c r="V507" s="7">
        <v>0</v>
      </c>
      <c r="W507" s="6">
        <v>44608</v>
      </c>
      <c r="X507" s="7">
        <v>0.41666666666666669</v>
      </c>
      <c r="Y507" s="1" t="s">
        <v>4860</v>
      </c>
      <c r="Z507" s="5">
        <v>1700</v>
      </c>
      <c r="AA507" s="1" t="s">
        <v>3403</v>
      </c>
      <c r="AB507" s="1"/>
      <c r="AC507" s="1"/>
      <c r="AD507" s="1"/>
      <c r="AE507" s="1" t="s">
        <v>2352</v>
      </c>
      <c r="AF507" s="1" t="s">
        <v>9</v>
      </c>
      <c r="AG507" s="4">
        <v>22</v>
      </c>
      <c r="AH507" s="1"/>
      <c r="AI507" s="6">
        <v>44712</v>
      </c>
    </row>
    <row r="508" spans="1:35" x14ac:dyDescent="0.3">
      <c r="A508" s="1" t="s">
        <v>1401</v>
      </c>
      <c r="B508" s="2" t="str">
        <f>HYPERLINK("https://my.zakupki.prom.ua/remote/dispatcher/state_purchase_view/34688519")</f>
        <v>https://my.zakupki.prom.ua/remote/dispatcher/state_purchase_view/34688519</v>
      </c>
      <c r="C508" s="1" t="s">
        <v>3830</v>
      </c>
      <c r="D508" s="1" t="s">
        <v>804</v>
      </c>
      <c r="E508" s="4">
        <v>45</v>
      </c>
      <c r="F508" s="5">
        <v>17555.560000000001</v>
      </c>
      <c r="G508" s="1" t="s">
        <v>4924</v>
      </c>
      <c r="H508" s="1" t="s">
        <v>1059</v>
      </c>
      <c r="I508" s="1" t="s">
        <v>3405</v>
      </c>
      <c r="J508" s="5">
        <v>790000</v>
      </c>
      <c r="K508" s="1" t="s">
        <v>3394</v>
      </c>
      <c r="L508" s="5">
        <v>3950</v>
      </c>
      <c r="M508" s="1" t="s">
        <v>2308</v>
      </c>
      <c r="N508" s="1" t="s">
        <v>3983</v>
      </c>
      <c r="O508" s="1" t="s">
        <v>2521</v>
      </c>
      <c r="P508" s="1" t="s">
        <v>2515</v>
      </c>
      <c r="Q508" s="1" t="s">
        <v>4833</v>
      </c>
      <c r="R508" s="1" t="s">
        <v>4428</v>
      </c>
      <c r="S508" s="1" t="s">
        <v>4971</v>
      </c>
      <c r="T508" s="6">
        <v>44593</v>
      </c>
      <c r="U508" s="6">
        <v>44593</v>
      </c>
      <c r="V508" s="7">
        <v>0.53535989725694444</v>
      </c>
      <c r="W508" s="6">
        <v>44609</v>
      </c>
      <c r="X508" s="7">
        <v>0.54166666666666663</v>
      </c>
      <c r="Y508" s="8">
        <v>44610.653287037036</v>
      </c>
      <c r="Z508" s="5">
        <v>510</v>
      </c>
      <c r="AA508" s="1" t="s">
        <v>3403</v>
      </c>
      <c r="AB508" s="1"/>
      <c r="AC508" s="1"/>
      <c r="AD508" s="1"/>
      <c r="AE508" s="1" t="s">
        <v>3787</v>
      </c>
      <c r="AF508" s="1" t="s">
        <v>9</v>
      </c>
      <c r="AG508" s="4">
        <v>1</v>
      </c>
      <c r="AH508" s="1"/>
      <c r="AI508" s="6">
        <v>44926</v>
      </c>
    </row>
    <row r="509" spans="1:35" x14ac:dyDescent="0.3">
      <c r="A509" s="1" t="s">
        <v>2059</v>
      </c>
      <c r="B509" s="2" t="str">
        <f>HYPERLINK("https://my.zakupki.prom.ua/remote/dispatcher/state_purchase_view/34688516")</f>
        <v>https://my.zakupki.prom.ua/remote/dispatcher/state_purchase_view/34688516</v>
      </c>
      <c r="C509" s="1" t="s">
        <v>2399</v>
      </c>
      <c r="D509" s="1" t="s">
        <v>377</v>
      </c>
      <c r="E509" s="1" t="s">
        <v>4903</v>
      </c>
      <c r="F509" s="1" t="s">
        <v>4903</v>
      </c>
      <c r="G509" s="1" t="s">
        <v>4903</v>
      </c>
      <c r="H509" s="1" t="s">
        <v>172</v>
      </c>
      <c r="I509" s="1" t="s">
        <v>2849</v>
      </c>
      <c r="J509" s="5">
        <v>205250</v>
      </c>
      <c r="K509" s="1" t="s">
        <v>3394</v>
      </c>
      <c r="L509" s="5">
        <v>1027</v>
      </c>
      <c r="M509" s="1" t="s">
        <v>2308</v>
      </c>
      <c r="N509" s="1" t="s">
        <v>3983</v>
      </c>
      <c r="O509" s="1" t="s">
        <v>2521</v>
      </c>
      <c r="P509" s="1" t="s">
        <v>2515</v>
      </c>
      <c r="Q509" s="1" t="s">
        <v>2761</v>
      </c>
      <c r="R509" s="1" t="s">
        <v>4577</v>
      </c>
      <c r="S509" s="1" t="s">
        <v>4971</v>
      </c>
      <c r="T509" s="6">
        <v>44593</v>
      </c>
      <c r="U509" s="6">
        <v>44593</v>
      </c>
      <c r="V509" s="7">
        <v>0.53646035225694444</v>
      </c>
      <c r="W509" s="6">
        <v>44609</v>
      </c>
      <c r="X509" s="7">
        <v>0</v>
      </c>
      <c r="Y509" s="8">
        <v>44609.58494212963</v>
      </c>
      <c r="Z509" s="5">
        <v>510</v>
      </c>
      <c r="AA509" s="1" t="s">
        <v>3403</v>
      </c>
      <c r="AB509" s="1"/>
      <c r="AC509" s="1"/>
      <c r="AD509" s="1"/>
      <c r="AE509" s="1" t="s">
        <v>3788</v>
      </c>
      <c r="AF509" s="1" t="s">
        <v>9</v>
      </c>
      <c r="AG509" s="4">
        <v>7</v>
      </c>
      <c r="AH509" s="1"/>
      <c r="AI509" s="6">
        <v>44926</v>
      </c>
    </row>
    <row r="510" spans="1:35" x14ac:dyDescent="0.3">
      <c r="A510" s="1" t="s">
        <v>1393</v>
      </c>
      <c r="B510" s="2" t="str">
        <f>HYPERLINK("https://my.zakupki.prom.ua/remote/dispatcher/state_purchase_view/34688513")</f>
        <v>https://my.zakupki.prom.ua/remote/dispatcher/state_purchase_view/34688513</v>
      </c>
      <c r="C510" s="1" t="s">
        <v>3449</v>
      </c>
      <c r="D510" s="1" t="s">
        <v>1243</v>
      </c>
      <c r="E510" s="1" t="s">
        <v>4903</v>
      </c>
      <c r="F510" s="1" t="s">
        <v>4903</v>
      </c>
      <c r="G510" s="1" t="s">
        <v>4903</v>
      </c>
      <c r="H510" s="1" t="s">
        <v>350</v>
      </c>
      <c r="I510" s="1" t="s">
        <v>4813</v>
      </c>
      <c r="J510" s="5">
        <v>1300000</v>
      </c>
      <c r="K510" s="1" t="s">
        <v>3394</v>
      </c>
      <c r="L510" s="5">
        <v>6500</v>
      </c>
      <c r="M510" s="1" t="s">
        <v>2308</v>
      </c>
      <c r="N510" s="1" t="s">
        <v>3983</v>
      </c>
      <c r="O510" s="1" t="s">
        <v>2521</v>
      </c>
      <c r="P510" s="1" t="s">
        <v>2515</v>
      </c>
      <c r="Q510" s="1" t="s">
        <v>3035</v>
      </c>
      <c r="R510" s="1" t="s">
        <v>4294</v>
      </c>
      <c r="S510" s="1" t="s">
        <v>4971</v>
      </c>
      <c r="T510" s="6">
        <v>44593</v>
      </c>
      <c r="U510" s="6">
        <v>44593</v>
      </c>
      <c r="V510" s="7">
        <v>0.52788848196759264</v>
      </c>
      <c r="W510" s="6">
        <v>44609</v>
      </c>
      <c r="X510" s="7">
        <v>0</v>
      </c>
      <c r="Y510" s="8">
        <v>44609.617106481484</v>
      </c>
      <c r="Z510" s="5">
        <v>1700</v>
      </c>
      <c r="AA510" s="1" t="s">
        <v>3403</v>
      </c>
      <c r="AB510" s="1"/>
      <c r="AC510" s="1"/>
      <c r="AD510" s="1"/>
      <c r="AE510" s="1" t="s">
        <v>3737</v>
      </c>
      <c r="AF510" s="1" t="s">
        <v>9</v>
      </c>
      <c r="AG510" s="4">
        <v>8</v>
      </c>
      <c r="AH510" s="6">
        <v>44621</v>
      </c>
      <c r="AI510" s="6">
        <v>44926</v>
      </c>
    </row>
    <row r="511" spans="1:35" x14ac:dyDescent="0.3">
      <c r="A511" s="1" t="s">
        <v>2075</v>
      </c>
      <c r="B511" s="2" t="str">
        <f>HYPERLINK("https://my.zakupki.prom.ua/remote/dispatcher/state_purchase_view/34688498")</f>
        <v>https://my.zakupki.prom.ua/remote/dispatcher/state_purchase_view/34688498</v>
      </c>
      <c r="C511" s="1" t="s">
        <v>3628</v>
      </c>
      <c r="D511" s="1" t="s">
        <v>1285</v>
      </c>
      <c r="E511" s="4">
        <v>4300</v>
      </c>
      <c r="F511" s="5">
        <v>29.07</v>
      </c>
      <c r="G511" s="1" t="s">
        <v>4901</v>
      </c>
      <c r="H511" s="1" t="s">
        <v>79</v>
      </c>
      <c r="I511" s="1" t="s">
        <v>3136</v>
      </c>
      <c r="J511" s="5">
        <v>125000</v>
      </c>
      <c r="K511" s="1" t="s">
        <v>3394</v>
      </c>
      <c r="L511" s="5">
        <v>625</v>
      </c>
      <c r="M511" s="1" t="s">
        <v>2308</v>
      </c>
      <c r="N511" s="1" t="s">
        <v>3983</v>
      </c>
      <c r="O511" s="1" t="s">
        <v>2521</v>
      </c>
      <c r="P511" s="1" t="s">
        <v>3956</v>
      </c>
      <c r="Q511" s="1" t="s">
        <v>2334</v>
      </c>
      <c r="R511" s="1" t="s">
        <v>4524</v>
      </c>
      <c r="S511" s="1" t="s">
        <v>4937</v>
      </c>
      <c r="T511" s="6">
        <v>44593</v>
      </c>
      <c r="U511" s="6">
        <v>44599</v>
      </c>
      <c r="V511" s="7">
        <v>0.51597222222222228</v>
      </c>
      <c r="W511" s="6">
        <v>44602</v>
      </c>
      <c r="X511" s="7">
        <v>0.5</v>
      </c>
      <c r="Y511" s="1" t="s">
        <v>4860</v>
      </c>
      <c r="Z511" s="5">
        <v>340</v>
      </c>
      <c r="AA511" s="1" t="s">
        <v>3403</v>
      </c>
      <c r="AB511" s="1"/>
      <c r="AC511" s="1"/>
      <c r="AD511" s="1"/>
      <c r="AE511" s="1" t="s">
        <v>3750</v>
      </c>
      <c r="AF511" s="1" t="s">
        <v>9</v>
      </c>
      <c r="AG511" s="4">
        <v>2</v>
      </c>
      <c r="AH511" s="1"/>
      <c r="AI511" s="6">
        <v>44926</v>
      </c>
    </row>
    <row r="512" spans="1:35" x14ac:dyDescent="0.3">
      <c r="A512" s="1" t="s">
        <v>1656</v>
      </c>
      <c r="B512" s="2" t="str">
        <f>HYPERLINK("https://my.zakupki.prom.ua/remote/dispatcher/state_purchase_view/34688491")</f>
        <v>https://my.zakupki.prom.ua/remote/dispatcher/state_purchase_view/34688491</v>
      </c>
      <c r="C512" s="1" t="s">
        <v>2660</v>
      </c>
      <c r="D512" s="1" t="s">
        <v>1231</v>
      </c>
      <c r="E512" s="4">
        <v>12</v>
      </c>
      <c r="F512" s="5">
        <v>275</v>
      </c>
      <c r="G512" s="1" t="s">
        <v>4940</v>
      </c>
      <c r="H512" s="1" t="s">
        <v>928</v>
      </c>
      <c r="I512" s="1" t="s">
        <v>2568</v>
      </c>
      <c r="J512" s="5">
        <v>3300</v>
      </c>
      <c r="K512" s="1" t="s">
        <v>3394</v>
      </c>
      <c r="L512" s="5">
        <v>33</v>
      </c>
      <c r="M512" s="1" t="s">
        <v>2308</v>
      </c>
      <c r="N512" s="1" t="s">
        <v>3983</v>
      </c>
      <c r="O512" s="1" t="s">
        <v>2521</v>
      </c>
      <c r="P512" s="1" t="s">
        <v>3956</v>
      </c>
      <c r="Q512" s="1" t="s">
        <v>3264</v>
      </c>
      <c r="R512" s="1" t="s">
        <v>4467</v>
      </c>
      <c r="S512" s="1" t="s">
        <v>4937</v>
      </c>
      <c r="T512" s="6">
        <v>44593</v>
      </c>
      <c r="U512" s="6">
        <v>44599</v>
      </c>
      <c r="V512" s="7">
        <v>0.53901620370370373</v>
      </c>
      <c r="W512" s="6">
        <v>44603</v>
      </c>
      <c r="X512" s="7">
        <v>0.53901620370370373</v>
      </c>
      <c r="Y512" s="1" t="s">
        <v>4860</v>
      </c>
      <c r="Z512" s="5">
        <v>17</v>
      </c>
      <c r="AA512" s="1" t="s">
        <v>3403</v>
      </c>
      <c r="AB512" s="1"/>
      <c r="AC512" s="1"/>
      <c r="AD512" s="1"/>
      <c r="AE512" s="1" t="s">
        <v>3727</v>
      </c>
      <c r="AF512" s="1" t="s">
        <v>9</v>
      </c>
      <c r="AG512" s="4">
        <v>6</v>
      </c>
      <c r="AH512" s="1"/>
      <c r="AI512" s="6">
        <v>44926</v>
      </c>
    </row>
    <row r="513" spans="1:35" x14ac:dyDescent="0.3">
      <c r="A513" s="1" t="s">
        <v>1402</v>
      </c>
      <c r="B513" s="2" t="str">
        <f>HYPERLINK("https://my.zakupki.prom.ua/remote/dispatcher/state_purchase_view/34688487")</f>
        <v>https://my.zakupki.prom.ua/remote/dispatcher/state_purchase_view/34688487</v>
      </c>
      <c r="C513" s="1" t="s">
        <v>3622</v>
      </c>
      <c r="D513" s="1" t="s">
        <v>1285</v>
      </c>
      <c r="E513" s="1" t="s">
        <v>4903</v>
      </c>
      <c r="F513" s="1" t="s">
        <v>4903</v>
      </c>
      <c r="G513" s="1" t="s">
        <v>4903</v>
      </c>
      <c r="H513" s="1" t="s">
        <v>629</v>
      </c>
      <c r="I513" s="1" t="s">
        <v>3156</v>
      </c>
      <c r="J513" s="5">
        <v>4000</v>
      </c>
      <c r="K513" s="1" t="s">
        <v>3394</v>
      </c>
      <c r="L513" s="5">
        <v>20</v>
      </c>
      <c r="M513" s="1" t="s">
        <v>2308</v>
      </c>
      <c r="N513" s="1" t="s">
        <v>3983</v>
      </c>
      <c r="O513" s="1" t="s">
        <v>2521</v>
      </c>
      <c r="P513" s="1" t="s">
        <v>3956</v>
      </c>
      <c r="Q513" s="1" t="s">
        <v>3035</v>
      </c>
      <c r="R513" s="1" t="s">
        <v>4464</v>
      </c>
      <c r="S513" s="1" t="s">
        <v>4937</v>
      </c>
      <c r="T513" s="6">
        <v>44593</v>
      </c>
      <c r="U513" s="6">
        <v>44599</v>
      </c>
      <c r="V513" s="7">
        <v>0.53881944444444441</v>
      </c>
      <c r="W513" s="6">
        <v>44602</v>
      </c>
      <c r="X513" s="7">
        <v>0.53881944444444441</v>
      </c>
      <c r="Y513" s="1" t="s">
        <v>4860</v>
      </c>
      <c r="Z513" s="5">
        <v>17</v>
      </c>
      <c r="AA513" s="1" t="s">
        <v>3403</v>
      </c>
      <c r="AB513" s="1"/>
      <c r="AC513" s="1"/>
      <c r="AD513" s="1"/>
      <c r="AE513" s="1" t="s">
        <v>3750</v>
      </c>
      <c r="AF513" s="1" t="s">
        <v>9</v>
      </c>
      <c r="AG513" s="1" t="s">
        <v>9</v>
      </c>
      <c r="AH513" s="1"/>
      <c r="AI513" s="6">
        <v>44926</v>
      </c>
    </row>
    <row r="514" spans="1:35" x14ac:dyDescent="0.3">
      <c r="A514" s="1" t="s">
        <v>2074</v>
      </c>
      <c r="B514" s="2" t="str">
        <f>HYPERLINK("https://my.zakupki.prom.ua/remote/dispatcher/state_purchase_view/34688475")</f>
        <v>https://my.zakupki.prom.ua/remote/dispatcher/state_purchase_view/34688475</v>
      </c>
      <c r="C514" s="1" t="s">
        <v>4019</v>
      </c>
      <c r="D514" s="1" t="s">
        <v>956</v>
      </c>
      <c r="E514" s="4">
        <v>430</v>
      </c>
      <c r="F514" s="5">
        <v>450</v>
      </c>
      <c r="G514" s="1" t="s">
        <v>4991</v>
      </c>
      <c r="H514" s="1" t="s">
        <v>247</v>
      </c>
      <c r="I514" s="1" t="s">
        <v>3951</v>
      </c>
      <c r="J514" s="5">
        <v>193500</v>
      </c>
      <c r="K514" s="1" t="s">
        <v>3394</v>
      </c>
      <c r="L514" s="5">
        <v>967.5</v>
      </c>
      <c r="M514" s="1" t="s">
        <v>2308</v>
      </c>
      <c r="N514" s="1" t="s">
        <v>3983</v>
      </c>
      <c r="O514" s="1" t="s">
        <v>2521</v>
      </c>
      <c r="P514" s="1" t="s">
        <v>3956</v>
      </c>
      <c r="Q514" s="1" t="s">
        <v>2761</v>
      </c>
      <c r="R514" s="1" t="s">
        <v>4291</v>
      </c>
      <c r="S514" s="1" t="s">
        <v>4937</v>
      </c>
      <c r="T514" s="6">
        <v>44593</v>
      </c>
      <c r="U514" s="6">
        <v>44599</v>
      </c>
      <c r="V514" s="7">
        <v>0</v>
      </c>
      <c r="W514" s="6">
        <v>44602</v>
      </c>
      <c r="X514" s="7">
        <v>0</v>
      </c>
      <c r="Y514" s="1" t="s">
        <v>4860</v>
      </c>
      <c r="Z514" s="5">
        <v>340</v>
      </c>
      <c r="AA514" s="1" t="s">
        <v>3403</v>
      </c>
      <c r="AB514" s="1"/>
      <c r="AC514" s="1"/>
      <c r="AD514" s="1"/>
      <c r="AE514" s="1" t="s">
        <v>3788</v>
      </c>
      <c r="AF514" s="1" t="s">
        <v>9</v>
      </c>
      <c r="AG514" s="1" t="s">
        <v>9</v>
      </c>
      <c r="AH514" s="1"/>
      <c r="AI514" s="6">
        <v>44926</v>
      </c>
    </row>
    <row r="515" spans="1:35" x14ac:dyDescent="0.3">
      <c r="A515" s="1" t="s">
        <v>2072</v>
      </c>
      <c r="B515" s="2" t="str">
        <f>HYPERLINK("https://my.zakupki.prom.ua/remote/dispatcher/state_purchase_view/34688449")</f>
        <v>https://my.zakupki.prom.ua/remote/dispatcher/state_purchase_view/34688449</v>
      </c>
      <c r="C515" s="1" t="s">
        <v>4826</v>
      </c>
      <c r="D515" s="1" t="s">
        <v>500</v>
      </c>
      <c r="E515" s="4">
        <v>5098</v>
      </c>
      <c r="F515" s="5">
        <v>26.4</v>
      </c>
      <c r="G515" s="1" t="s">
        <v>4901</v>
      </c>
      <c r="H515" s="1" t="s">
        <v>191</v>
      </c>
      <c r="I515" s="1" t="s">
        <v>3208</v>
      </c>
      <c r="J515" s="5">
        <v>134587.20000000001</v>
      </c>
      <c r="K515" s="1" t="s">
        <v>3394</v>
      </c>
      <c r="L515" s="5">
        <v>672.94</v>
      </c>
      <c r="M515" s="1" t="s">
        <v>2308</v>
      </c>
      <c r="N515" s="1" t="s">
        <v>3983</v>
      </c>
      <c r="O515" s="1" t="s">
        <v>2521</v>
      </c>
      <c r="P515" s="1" t="s">
        <v>3956</v>
      </c>
      <c r="Q515" s="1" t="s">
        <v>4798</v>
      </c>
      <c r="R515" s="1" t="s">
        <v>4678</v>
      </c>
      <c r="S515" s="1" t="s">
        <v>4937</v>
      </c>
      <c r="T515" s="6">
        <v>44593</v>
      </c>
      <c r="U515" s="6">
        <v>44600</v>
      </c>
      <c r="V515" s="7">
        <v>0.53819444444444442</v>
      </c>
      <c r="W515" s="6">
        <v>44603</v>
      </c>
      <c r="X515" s="7">
        <v>0.53819444444444442</v>
      </c>
      <c r="Y515" s="1" t="s">
        <v>4860</v>
      </c>
      <c r="Z515" s="5">
        <v>340</v>
      </c>
      <c r="AA515" s="1" t="s">
        <v>3403</v>
      </c>
      <c r="AB515" s="1"/>
      <c r="AC515" s="1"/>
      <c r="AD515" s="1"/>
      <c r="AE515" s="1" t="s">
        <v>3767</v>
      </c>
      <c r="AF515" s="1" t="s">
        <v>9</v>
      </c>
      <c r="AG515" s="4">
        <v>31</v>
      </c>
      <c r="AH515" s="1"/>
      <c r="AI515" s="6">
        <v>44926</v>
      </c>
    </row>
    <row r="516" spans="1:35" x14ac:dyDescent="0.3">
      <c r="A516" s="1" t="s">
        <v>2071</v>
      </c>
      <c r="B516" s="2" t="str">
        <f>HYPERLINK("https://my.zakupki.prom.ua/remote/dispatcher/state_purchase_view/34688376")</f>
        <v>https://my.zakupki.prom.ua/remote/dispatcher/state_purchase_view/34688376</v>
      </c>
      <c r="C516" s="1" t="s">
        <v>2310</v>
      </c>
      <c r="D516" s="1" t="s">
        <v>376</v>
      </c>
      <c r="E516" s="4">
        <v>4458</v>
      </c>
      <c r="F516" s="5">
        <v>36</v>
      </c>
      <c r="G516" s="1" t="s">
        <v>4908</v>
      </c>
      <c r="H516" s="1" t="s">
        <v>1122</v>
      </c>
      <c r="I516" s="1" t="s">
        <v>2454</v>
      </c>
      <c r="J516" s="5">
        <v>160488</v>
      </c>
      <c r="K516" s="1" t="s">
        <v>3394</v>
      </c>
      <c r="L516" s="5">
        <v>1604.88</v>
      </c>
      <c r="M516" s="1" t="s">
        <v>2308</v>
      </c>
      <c r="N516" s="1" t="s">
        <v>3983</v>
      </c>
      <c r="O516" s="1" t="s">
        <v>2521</v>
      </c>
      <c r="P516" s="1" t="s">
        <v>2515</v>
      </c>
      <c r="Q516" s="1" t="s">
        <v>3035</v>
      </c>
      <c r="R516" s="1" t="s">
        <v>4596</v>
      </c>
      <c r="S516" s="1" t="s">
        <v>4971</v>
      </c>
      <c r="T516" s="6">
        <v>44593</v>
      </c>
      <c r="U516" s="6">
        <v>44593</v>
      </c>
      <c r="V516" s="7">
        <v>0.53872578165509255</v>
      </c>
      <c r="W516" s="6">
        <v>44609</v>
      </c>
      <c r="X516" s="7">
        <v>0</v>
      </c>
      <c r="Y516" s="8">
        <v>44609.474745370368</v>
      </c>
      <c r="Z516" s="5">
        <v>340</v>
      </c>
      <c r="AA516" s="1" t="s">
        <v>3403</v>
      </c>
      <c r="AB516" s="1"/>
      <c r="AC516" s="1"/>
      <c r="AD516" s="1"/>
      <c r="AE516" s="1" t="s">
        <v>3712</v>
      </c>
      <c r="AF516" s="1" t="s">
        <v>9</v>
      </c>
      <c r="AG516" s="1" t="s">
        <v>9</v>
      </c>
      <c r="AH516" s="1"/>
      <c r="AI516" s="6">
        <v>44926</v>
      </c>
    </row>
    <row r="517" spans="1:35" x14ac:dyDescent="0.3">
      <c r="A517" s="1" t="s">
        <v>2070</v>
      </c>
      <c r="B517" s="2" t="str">
        <f>HYPERLINK("https://my.zakupki.prom.ua/remote/dispatcher/state_purchase_view/34687287")</f>
        <v>https://my.zakupki.prom.ua/remote/dispatcher/state_purchase_view/34687287</v>
      </c>
      <c r="C517" s="1" t="s">
        <v>3317</v>
      </c>
      <c r="D517" s="1" t="s">
        <v>774</v>
      </c>
      <c r="E517" s="1" t="s">
        <v>4903</v>
      </c>
      <c r="F517" s="1" t="s">
        <v>4903</v>
      </c>
      <c r="G517" s="1" t="s">
        <v>4903</v>
      </c>
      <c r="H517" s="1" t="s">
        <v>70</v>
      </c>
      <c r="I517" s="1" t="s">
        <v>3105</v>
      </c>
      <c r="J517" s="5">
        <v>125850</v>
      </c>
      <c r="K517" s="1" t="s">
        <v>3394</v>
      </c>
      <c r="L517" s="5">
        <v>629.25</v>
      </c>
      <c r="M517" s="1" t="s">
        <v>2308</v>
      </c>
      <c r="N517" s="1" t="s">
        <v>3983</v>
      </c>
      <c r="O517" s="1" t="s">
        <v>2521</v>
      </c>
      <c r="P517" s="1" t="s">
        <v>2515</v>
      </c>
      <c r="Q517" s="1" t="s">
        <v>2796</v>
      </c>
      <c r="R517" s="1" t="s">
        <v>4277</v>
      </c>
      <c r="S517" s="1" t="s">
        <v>4971</v>
      </c>
      <c r="T517" s="6">
        <v>44593</v>
      </c>
      <c r="U517" s="6">
        <v>44593</v>
      </c>
      <c r="V517" s="7">
        <v>0.53851164890046299</v>
      </c>
      <c r="W517" s="6">
        <v>44609</v>
      </c>
      <c r="X517" s="7">
        <v>0.66666666666666663</v>
      </c>
      <c r="Y517" s="8">
        <v>44610.505393518521</v>
      </c>
      <c r="Z517" s="5">
        <v>340</v>
      </c>
      <c r="AA517" s="1" t="s">
        <v>3403</v>
      </c>
      <c r="AB517" s="1"/>
      <c r="AC517" s="1"/>
      <c r="AD517" s="1"/>
      <c r="AE517" s="1" t="s">
        <v>3768</v>
      </c>
      <c r="AF517" s="1" t="s">
        <v>9</v>
      </c>
      <c r="AG517" s="1" t="s">
        <v>9</v>
      </c>
      <c r="AH517" s="1"/>
      <c r="AI517" s="6">
        <v>44926</v>
      </c>
    </row>
    <row r="518" spans="1:35" x14ac:dyDescent="0.3">
      <c r="A518" s="1" t="s">
        <v>2069</v>
      </c>
      <c r="B518" s="2" t="str">
        <f>HYPERLINK("https://my.zakupki.prom.ua/remote/dispatcher/state_purchase_view/34688414")</f>
        <v>https://my.zakupki.prom.ua/remote/dispatcher/state_purchase_view/34688414</v>
      </c>
      <c r="C518" s="1" t="s">
        <v>2337</v>
      </c>
      <c r="D518" s="1" t="s">
        <v>1228</v>
      </c>
      <c r="E518" s="4">
        <v>1</v>
      </c>
      <c r="F518" s="5">
        <v>2500</v>
      </c>
      <c r="G518" s="1" t="s">
        <v>4940</v>
      </c>
      <c r="H518" s="1" t="s">
        <v>34</v>
      </c>
      <c r="I518" s="1" t="s">
        <v>2697</v>
      </c>
      <c r="J518" s="5">
        <v>2500</v>
      </c>
      <c r="K518" s="1" t="s">
        <v>3394</v>
      </c>
      <c r="L518" s="5">
        <v>15</v>
      </c>
      <c r="M518" s="1" t="s">
        <v>2308</v>
      </c>
      <c r="N518" s="1" t="s">
        <v>3403</v>
      </c>
      <c r="O518" s="1" t="s">
        <v>2521</v>
      </c>
      <c r="P518" s="1" t="s">
        <v>3956</v>
      </c>
      <c r="Q518" s="1" t="s">
        <v>2820</v>
      </c>
      <c r="R518" s="1" t="s">
        <v>4273</v>
      </c>
      <c r="S518" s="1" t="s">
        <v>4937</v>
      </c>
      <c r="T518" s="6">
        <v>44593</v>
      </c>
      <c r="U518" s="6">
        <v>44599</v>
      </c>
      <c r="V518" s="7">
        <v>0.75</v>
      </c>
      <c r="W518" s="6">
        <v>44602</v>
      </c>
      <c r="X518" s="7">
        <v>0.33333333333333331</v>
      </c>
      <c r="Y518" s="1" t="s">
        <v>4860</v>
      </c>
      <c r="Z518" s="5">
        <v>17</v>
      </c>
      <c r="AA518" s="1" t="s">
        <v>3403</v>
      </c>
      <c r="AB518" s="1"/>
      <c r="AC518" s="1"/>
      <c r="AD518" s="1"/>
      <c r="AE518" s="1" t="s">
        <v>3759</v>
      </c>
      <c r="AF518" s="1" t="s">
        <v>9</v>
      </c>
      <c r="AG518" s="4">
        <v>10</v>
      </c>
      <c r="AH518" s="1"/>
      <c r="AI518" s="6">
        <v>44989</v>
      </c>
    </row>
    <row r="519" spans="1:35" x14ac:dyDescent="0.3">
      <c r="A519" s="1" t="s">
        <v>2068</v>
      </c>
      <c r="B519" s="2" t="str">
        <f>HYPERLINK("https://my.zakupki.prom.ua/remote/dispatcher/state_purchase_view/34688405")</f>
        <v>https://my.zakupki.prom.ua/remote/dispatcher/state_purchase_view/34688405</v>
      </c>
      <c r="C519" s="1" t="s">
        <v>2669</v>
      </c>
      <c r="D519" s="1" t="s">
        <v>387</v>
      </c>
      <c r="E519" s="4">
        <v>148917</v>
      </c>
      <c r="F519" s="5">
        <v>5.16</v>
      </c>
      <c r="G519" s="1" t="s">
        <v>3235</v>
      </c>
      <c r="H519" s="1" t="s">
        <v>154</v>
      </c>
      <c r="I519" s="1" t="s">
        <v>3461</v>
      </c>
      <c r="J519" s="5">
        <v>769098.98</v>
      </c>
      <c r="K519" s="1" t="s">
        <v>3394</v>
      </c>
      <c r="L519" s="5">
        <v>3845.49</v>
      </c>
      <c r="M519" s="1" t="s">
        <v>2308</v>
      </c>
      <c r="N519" s="1" t="s">
        <v>3983</v>
      </c>
      <c r="O519" s="1" t="s">
        <v>2521</v>
      </c>
      <c r="P519" s="1" t="s">
        <v>2515</v>
      </c>
      <c r="Q519" s="1" t="s">
        <v>3504</v>
      </c>
      <c r="R519" s="1" t="s">
        <v>4696</v>
      </c>
      <c r="S519" s="1" t="s">
        <v>4971</v>
      </c>
      <c r="T519" s="6">
        <v>44593</v>
      </c>
      <c r="U519" s="6">
        <v>44593</v>
      </c>
      <c r="V519" s="7">
        <v>0.53798272968749994</v>
      </c>
      <c r="W519" s="6">
        <v>44609</v>
      </c>
      <c r="X519" s="7">
        <v>0.375</v>
      </c>
      <c r="Y519" s="8">
        <v>44610.490868055553</v>
      </c>
      <c r="Z519" s="5">
        <v>510</v>
      </c>
      <c r="AA519" s="1" t="s">
        <v>3403</v>
      </c>
      <c r="AB519" s="1"/>
      <c r="AC519" s="1"/>
      <c r="AD519" s="1"/>
      <c r="AE519" s="1" t="s">
        <v>3765</v>
      </c>
      <c r="AF519" s="1" t="s">
        <v>9</v>
      </c>
      <c r="AG519" s="4">
        <v>2</v>
      </c>
      <c r="AH519" s="1"/>
      <c r="AI519" s="6">
        <v>44926</v>
      </c>
    </row>
    <row r="520" spans="1:35" x14ac:dyDescent="0.3">
      <c r="A520" s="1" t="s">
        <v>2067</v>
      </c>
      <c r="B520" s="2" t="str">
        <f>HYPERLINK("https://my.zakupki.prom.ua/remote/dispatcher/state_purchase_view/34688380")</f>
        <v>https://my.zakupki.prom.ua/remote/dispatcher/state_purchase_view/34688380</v>
      </c>
      <c r="C520" s="1" t="s">
        <v>2752</v>
      </c>
      <c r="D520" s="1" t="s">
        <v>373</v>
      </c>
      <c r="E520" s="1" t="s">
        <v>4903</v>
      </c>
      <c r="F520" s="1" t="s">
        <v>4903</v>
      </c>
      <c r="G520" s="1" t="s">
        <v>4903</v>
      </c>
      <c r="H520" s="1" t="s">
        <v>868</v>
      </c>
      <c r="I520" s="1" t="s">
        <v>3252</v>
      </c>
      <c r="J520" s="5">
        <v>203200</v>
      </c>
      <c r="K520" s="1" t="s">
        <v>3394</v>
      </c>
      <c r="L520" s="5">
        <v>1016</v>
      </c>
      <c r="M520" s="1" t="s">
        <v>2308</v>
      </c>
      <c r="N520" s="1" t="s">
        <v>3983</v>
      </c>
      <c r="O520" s="1" t="s">
        <v>2521</v>
      </c>
      <c r="P520" s="1" t="s">
        <v>2515</v>
      </c>
      <c r="Q520" s="1" t="s">
        <v>2761</v>
      </c>
      <c r="R520" s="1" t="s">
        <v>4312</v>
      </c>
      <c r="S520" s="1" t="s">
        <v>4971</v>
      </c>
      <c r="T520" s="6">
        <v>44593</v>
      </c>
      <c r="U520" s="6">
        <v>44593</v>
      </c>
      <c r="V520" s="7">
        <v>0.53751470396990741</v>
      </c>
      <c r="W520" s="6">
        <v>44609</v>
      </c>
      <c r="X520" s="7">
        <v>0</v>
      </c>
      <c r="Y520" s="8">
        <v>44609.495821759258</v>
      </c>
      <c r="Z520" s="5">
        <v>510</v>
      </c>
      <c r="AA520" s="1" t="s">
        <v>3403</v>
      </c>
      <c r="AB520" s="1"/>
      <c r="AC520" s="1"/>
      <c r="AD520" s="1"/>
      <c r="AE520" s="1" t="s">
        <v>3787</v>
      </c>
      <c r="AF520" s="1" t="s">
        <v>9</v>
      </c>
      <c r="AG520" s="4">
        <v>14</v>
      </c>
      <c r="AH520" s="1"/>
      <c r="AI520" s="6">
        <v>44926</v>
      </c>
    </row>
    <row r="521" spans="1:35" x14ac:dyDescent="0.3">
      <c r="A521" s="1" t="s">
        <v>2065</v>
      </c>
      <c r="B521" s="2" t="str">
        <f>HYPERLINK("https://my.zakupki.prom.ua/remote/dispatcher/state_purchase_view/34688362")</f>
        <v>https://my.zakupki.prom.ua/remote/dispatcher/state_purchase_view/34688362</v>
      </c>
      <c r="C521" s="1" t="s">
        <v>4807</v>
      </c>
      <c r="D521" s="1" t="s">
        <v>1224</v>
      </c>
      <c r="E521" s="4">
        <v>1</v>
      </c>
      <c r="F521" s="5">
        <v>121000</v>
      </c>
      <c r="G521" s="1" t="s">
        <v>4940</v>
      </c>
      <c r="H521" s="1" t="s">
        <v>712</v>
      </c>
      <c r="I521" s="1" t="s">
        <v>2939</v>
      </c>
      <c r="J521" s="5">
        <v>121000</v>
      </c>
      <c r="K521" s="1" t="s">
        <v>3394</v>
      </c>
      <c r="L521" s="5">
        <v>605</v>
      </c>
      <c r="M521" s="1" t="s">
        <v>2308</v>
      </c>
      <c r="N521" s="1" t="s">
        <v>3983</v>
      </c>
      <c r="O521" s="1" t="s">
        <v>2521</v>
      </c>
      <c r="P521" s="1" t="s">
        <v>3956</v>
      </c>
      <c r="Q521" s="1" t="s">
        <v>4794</v>
      </c>
      <c r="R521" s="1" t="s">
        <v>4091</v>
      </c>
      <c r="S521" s="1" t="s">
        <v>4937</v>
      </c>
      <c r="T521" s="6">
        <v>44593</v>
      </c>
      <c r="U521" s="6">
        <v>44599</v>
      </c>
      <c r="V521" s="7">
        <v>0</v>
      </c>
      <c r="W521" s="6">
        <v>44602</v>
      </c>
      <c r="X521" s="7">
        <v>0</v>
      </c>
      <c r="Y521" s="1" t="s">
        <v>4860</v>
      </c>
      <c r="Z521" s="5">
        <v>340</v>
      </c>
      <c r="AA521" s="1" t="s">
        <v>3403</v>
      </c>
      <c r="AB521" s="1"/>
      <c r="AC521" s="1"/>
      <c r="AD521" s="1"/>
      <c r="AE521" s="1" t="s">
        <v>3728</v>
      </c>
      <c r="AF521" s="1" t="s">
        <v>9</v>
      </c>
      <c r="AG521" s="4">
        <v>3</v>
      </c>
      <c r="AH521" s="1"/>
      <c r="AI521" s="6">
        <v>44926</v>
      </c>
    </row>
    <row r="522" spans="1:35" x14ac:dyDescent="0.3">
      <c r="A522" s="1" t="s">
        <v>2064</v>
      </c>
      <c r="B522" s="2" t="str">
        <f>HYPERLINK("https://my.zakupki.prom.ua/remote/dispatcher/state_purchase_view/34688359")</f>
        <v>https://my.zakupki.prom.ua/remote/dispatcher/state_purchase_view/34688359</v>
      </c>
      <c r="C522" s="1" t="s">
        <v>2478</v>
      </c>
      <c r="D522" s="1" t="s">
        <v>1282</v>
      </c>
      <c r="E522" s="4">
        <v>196</v>
      </c>
      <c r="F522" s="5">
        <v>193.88</v>
      </c>
      <c r="G522" s="1" t="s">
        <v>4921</v>
      </c>
      <c r="H522" s="1" t="s">
        <v>1086</v>
      </c>
      <c r="I522" s="1" t="s">
        <v>2557</v>
      </c>
      <c r="J522" s="5">
        <v>38000</v>
      </c>
      <c r="K522" s="1" t="s">
        <v>3394</v>
      </c>
      <c r="L522" s="5">
        <v>190</v>
      </c>
      <c r="M522" s="1" t="s">
        <v>2308</v>
      </c>
      <c r="N522" s="1" t="s">
        <v>3983</v>
      </c>
      <c r="O522" s="1" t="s">
        <v>2521</v>
      </c>
      <c r="P522" s="1" t="s">
        <v>3956</v>
      </c>
      <c r="Q522" s="1" t="s">
        <v>2497</v>
      </c>
      <c r="R522" s="1" t="s">
        <v>4081</v>
      </c>
      <c r="S522" s="1" t="s">
        <v>4937</v>
      </c>
      <c r="T522" s="6">
        <v>44593</v>
      </c>
      <c r="U522" s="6">
        <v>44599</v>
      </c>
      <c r="V522" s="7">
        <v>0.41666666666666669</v>
      </c>
      <c r="W522" s="6">
        <v>44602</v>
      </c>
      <c r="X522" s="7">
        <v>0</v>
      </c>
      <c r="Y522" s="1" t="s">
        <v>4860</v>
      </c>
      <c r="Z522" s="5">
        <v>119</v>
      </c>
      <c r="AA522" s="1" t="s">
        <v>3403</v>
      </c>
      <c r="AB522" s="1"/>
      <c r="AC522" s="1"/>
      <c r="AD522" s="1"/>
      <c r="AE522" s="1" t="s">
        <v>3727</v>
      </c>
      <c r="AF522" s="1" t="s">
        <v>9</v>
      </c>
      <c r="AG522" s="4">
        <v>6</v>
      </c>
      <c r="AH522" s="1"/>
      <c r="AI522" s="6">
        <v>44926</v>
      </c>
    </row>
    <row r="523" spans="1:35" x14ac:dyDescent="0.3">
      <c r="A523" s="1" t="s">
        <v>2063</v>
      </c>
      <c r="B523" s="2" t="str">
        <f>HYPERLINK("https://my.zakupki.prom.ua/remote/dispatcher/state_purchase_view/34688353")</f>
        <v>https://my.zakupki.prom.ua/remote/dispatcher/state_purchase_view/34688353</v>
      </c>
      <c r="C523" s="1" t="s">
        <v>3668</v>
      </c>
      <c r="D523" s="1" t="s">
        <v>737</v>
      </c>
      <c r="E523" s="4">
        <v>1</v>
      </c>
      <c r="F523" s="5">
        <v>11000</v>
      </c>
      <c r="G523" s="1" t="s">
        <v>4991</v>
      </c>
      <c r="H523" s="1" t="s">
        <v>238</v>
      </c>
      <c r="I523" s="1" t="s">
        <v>2981</v>
      </c>
      <c r="J523" s="5">
        <v>11000</v>
      </c>
      <c r="K523" s="1" t="s">
        <v>3394</v>
      </c>
      <c r="L523" s="5">
        <v>110</v>
      </c>
      <c r="M523" s="1" t="s">
        <v>2308</v>
      </c>
      <c r="N523" s="1" t="s">
        <v>3983</v>
      </c>
      <c r="O523" s="1" t="s">
        <v>2521</v>
      </c>
      <c r="P523" s="1" t="s">
        <v>3956</v>
      </c>
      <c r="Q523" s="1" t="s">
        <v>4834</v>
      </c>
      <c r="R523" s="1" t="s">
        <v>4450</v>
      </c>
      <c r="S523" s="1" t="s">
        <v>4937</v>
      </c>
      <c r="T523" s="6">
        <v>44593</v>
      </c>
      <c r="U523" s="6">
        <v>44599</v>
      </c>
      <c r="V523" s="7">
        <v>0.95833333333333337</v>
      </c>
      <c r="W523" s="6">
        <v>44603</v>
      </c>
      <c r="X523" s="7">
        <v>0.33333333333333331</v>
      </c>
      <c r="Y523" s="1" t="s">
        <v>4860</v>
      </c>
      <c r="Z523" s="5">
        <v>17</v>
      </c>
      <c r="AA523" s="1" t="s">
        <v>3403</v>
      </c>
      <c r="AB523" s="1"/>
      <c r="AC523" s="1"/>
      <c r="AD523" s="1"/>
      <c r="AE523" s="1" t="s">
        <v>3799</v>
      </c>
      <c r="AF523" s="1" t="s">
        <v>9</v>
      </c>
      <c r="AG523" s="4">
        <v>11</v>
      </c>
      <c r="AH523" s="1"/>
      <c r="AI523" s="6">
        <v>44926</v>
      </c>
    </row>
    <row r="524" spans="1:35" x14ac:dyDescent="0.3">
      <c r="A524" s="1" t="s">
        <v>2062</v>
      </c>
      <c r="B524" s="2" t="str">
        <f>HYPERLINK("https://my.zakupki.prom.ua/remote/dispatcher/state_purchase_view/34687276")</f>
        <v>https://my.zakupki.prom.ua/remote/dispatcher/state_purchase_view/34687276</v>
      </c>
      <c r="C524" s="1" t="s">
        <v>386</v>
      </c>
      <c r="D524" s="1" t="s">
        <v>373</v>
      </c>
      <c r="E524" s="4">
        <v>11036865</v>
      </c>
      <c r="F524" s="5">
        <v>3.98</v>
      </c>
      <c r="G524" s="1" t="s">
        <v>3235</v>
      </c>
      <c r="H524" s="1" t="s">
        <v>722</v>
      </c>
      <c r="I524" s="1" t="s">
        <v>3404</v>
      </c>
      <c r="J524" s="5">
        <v>43965352</v>
      </c>
      <c r="K524" s="1" t="s">
        <v>3394</v>
      </c>
      <c r="L524" s="5">
        <v>439653.52</v>
      </c>
      <c r="M524" s="1" t="s">
        <v>2308</v>
      </c>
      <c r="N524" s="1" t="s">
        <v>3983</v>
      </c>
      <c r="O524" s="1" t="s">
        <v>2521</v>
      </c>
      <c r="P524" s="1" t="s">
        <v>2516</v>
      </c>
      <c r="Q524" s="1" t="s">
        <v>3325</v>
      </c>
      <c r="R524" s="1" t="s">
        <v>4642</v>
      </c>
      <c r="S524" s="1" t="s">
        <v>4971</v>
      </c>
      <c r="T524" s="6">
        <v>44593</v>
      </c>
      <c r="U524" s="6">
        <v>44593</v>
      </c>
      <c r="V524" s="7">
        <v>0.53674777608796298</v>
      </c>
      <c r="W524" s="6">
        <v>44624</v>
      </c>
      <c r="X524" s="7">
        <v>0.41666666666666669</v>
      </c>
      <c r="Y524" s="8">
        <v>44662.560925925929</v>
      </c>
      <c r="Z524" s="5">
        <v>3400</v>
      </c>
      <c r="AA524" s="1" t="s">
        <v>3403</v>
      </c>
      <c r="AB524" s="1"/>
      <c r="AC524" s="1"/>
      <c r="AD524" s="1"/>
      <c r="AE524" s="1" t="s">
        <v>3807</v>
      </c>
      <c r="AF524" s="1" t="s">
        <v>9</v>
      </c>
      <c r="AG524" s="4">
        <v>2</v>
      </c>
      <c r="AH524" s="6">
        <v>44682</v>
      </c>
      <c r="AI524" s="6">
        <v>44926</v>
      </c>
    </row>
    <row r="525" spans="1:35" x14ac:dyDescent="0.3">
      <c r="A525" s="1" t="s">
        <v>2061</v>
      </c>
      <c r="B525" s="2" t="str">
        <f>HYPERLINK("https://my.zakupki.prom.ua/remote/dispatcher/state_purchase_view/34688337")</f>
        <v>https://my.zakupki.prom.ua/remote/dispatcher/state_purchase_view/34688337</v>
      </c>
      <c r="C525" s="1" t="s">
        <v>2492</v>
      </c>
      <c r="D525" s="1" t="s">
        <v>813</v>
      </c>
      <c r="E525" s="1" t="s">
        <v>4903</v>
      </c>
      <c r="F525" s="1" t="s">
        <v>4903</v>
      </c>
      <c r="G525" s="1" t="s">
        <v>4903</v>
      </c>
      <c r="H525" s="1" t="s">
        <v>313</v>
      </c>
      <c r="I525" s="1" t="s">
        <v>3874</v>
      </c>
      <c r="J525" s="5">
        <v>27000</v>
      </c>
      <c r="K525" s="1" t="s">
        <v>3394</v>
      </c>
      <c r="L525" s="5">
        <v>135</v>
      </c>
      <c r="M525" s="1" t="s">
        <v>2308</v>
      </c>
      <c r="N525" s="1" t="s">
        <v>3983</v>
      </c>
      <c r="O525" s="1" t="s">
        <v>2521</v>
      </c>
      <c r="P525" s="1" t="s">
        <v>3956</v>
      </c>
      <c r="Q525" s="1" t="s">
        <v>4833</v>
      </c>
      <c r="R525" s="1" t="s">
        <v>4081</v>
      </c>
      <c r="S525" s="1" t="s">
        <v>4937</v>
      </c>
      <c r="T525" s="6">
        <v>44593</v>
      </c>
      <c r="U525" s="6">
        <v>44599</v>
      </c>
      <c r="V525" s="7">
        <v>0.5</v>
      </c>
      <c r="W525" s="6">
        <v>44602</v>
      </c>
      <c r="X525" s="7">
        <v>0.54166666666666663</v>
      </c>
      <c r="Y525" s="1" t="s">
        <v>4860</v>
      </c>
      <c r="Z525" s="5">
        <v>119</v>
      </c>
      <c r="AA525" s="1" t="s">
        <v>3403</v>
      </c>
      <c r="AB525" s="1"/>
      <c r="AC525" s="1"/>
      <c r="AD525" s="1"/>
      <c r="AE525" s="1" t="s">
        <v>3803</v>
      </c>
      <c r="AF525" s="1" t="s">
        <v>9</v>
      </c>
      <c r="AG525" s="4">
        <v>2</v>
      </c>
      <c r="AH525" s="1"/>
      <c r="AI525" s="6">
        <v>44651</v>
      </c>
    </row>
    <row r="526" spans="1:35" x14ac:dyDescent="0.3">
      <c r="A526" s="1" t="s">
        <v>2060</v>
      </c>
      <c r="B526" s="2" t="str">
        <f>HYPERLINK("https://my.zakupki.prom.ua/remote/dispatcher/state_purchase_view/34675233")</f>
        <v>https://my.zakupki.prom.ua/remote/dispatcher/state_purchase_view/34675233</v>
      </c>
      <c r="C526" s="1" t="s">
        <v>2384</v>
      </c>
      <c r="D526" s="1" t="s">
        <v>789</v>
      </c>
      <c r="E526" s="1" t="s">
        <v>4903</v>
      </c>
      <c r="F526" s="1" t="s">
        <v>4903</v>
      </c>
      <c r="G526" s="1" t="s">
        <v>4903</v>
      </c>
      <c r="H526" s="1" t="s">
        <v>47</v>
      </c>
      <c r="I526" s="1" t="s">
        <v>3091</v>
      </c>
      <c r="J526" s="5">
        <v>273300</v>
      </c>
      <c r="K526" s="1" t="s">
        <v>3394</v>
      </c>
      <c r="L526" s="5">
        <v>1366.5</v>
      </c>
      <c r="M526" s="1" t="s">
        <v>2308</v>
      </c>
      <c r="N526" s="1" t="s">
        <v>3983</v>
      </c>
      <c r="O526" s="1" t="s">
        <v>2521</v>
      </c>
      <c r="P526" s="1" t="s">
        <v>2515</v>
      </c>
      <c r="Q526" s="1" t="s">
        <v>2528</v>
      </c>
      <c r="R526" s="1" t="s">
        <v>4083</v>
      </c>
      <c r="S526" s="1" t="s">
        <v>4971</v>
      </c>
      <c r="T526" s="6">
        <v>44593</v>
      </c>
      <c r="U526" s="6">
        <v>44593</v>
      </c>
      <c r="V526" s="7">
        <v>0.53646985587962959</v>
      </c>
      <c r="W526" s="6">
        <v>44609</v>
      </c>
      <c r="X526" s="7">
        <v>0</v>
      </c>
      <c r="Y526" s="8">
        <v>44609.642743055556</v>
      </c>
      <c r="Z526" s="5">
        <v>510</v>
      </c>
      <c r="AA526" s="1" t="s">
        <v>3403</v>
      </c>
      <c r="AB526" s="1"/>
      <c r="AC526" s="1"/>
      <c r="AD526" s="1"/>
      <c r="AE526" s="1" t="s">
        <v>3765</v>
      </c>
      <c r="AF526" s="1" t="s">
        <v>9</v>
      </c>
      <c r="AG526" s="1" t="s">
        <v>9</v>
      </c>
      <c r="AH526" s="6">
        <v>44593</v>
      </c>
      <c r="AI526" s="6">
        <v>44926</v>
      </c>
    </row>
    <row r="527" spans="1:35" x14ac:dyDescent="0.3">
      <c r="A527" s="1" t="s">
        <v>1627</v>
      </c>
      <c r="B527" s="2" t="str">
        <f>HYPERLINK("https://my.zakupki.prom.ua/remote/dispatcher/state_purchase_view/34688318")</f>
        <v>https://my.zakupki.prom.ua/remote/dispatcher/state_purchase_view/34688318</v>
      </c>
      <c r="C527" s="1" t="s">
        <v>3273</v>
      </c>
      <c r="D527" s="1" t="s">
        <v>789</v>
      </c>
      <c r="E527" s="1" t="s">
        <v>4903</v>
      </c>
      <c r="F527" s="1" t="s">
        <v>4903</v>
      </c>
      <c r="G527" s="1" t="s">
        <v>4903</v>
      </c>
      <c r="H527" s="1" t="s">
        <v>409</v>
      </c>
      <c r="I527" s="1" t="s">
        <v>2897</v>
      </c>
      <c r="J527" s="5">
        <v>480411.12</v>
      </c>
      <c r="K527" s="1" t="s">
        <v>3394</v>
      </c>
      <c r="L527" s="5">
        <v>2402.0500000000002</v>
      </c>
      <c r="M527" s="1" t="s">
        <v>2308</v>
      </c>
      <c r="N527" s="1" t="s">
        <v>3983</v>
      </c>
      <c r="O527" s="1" t="s">
        <v>2521</v>
      </c>
      <c r="P527" s="1" t="s">
        <v>2515</v>
      </c>
      <c r="Q527" s="1" t="s">
        <v>2334</v>
      </c>
      <c r="R527" s="1" t="s">
        <v>4507</v>
      </c>
      <c r="S527" s="1" t="s">
        <v>4971</v>
      </c>
      <c r="T527" s="6">
        <v>44593</v>
      </c>
      <c r="U527" s="6">
        <v>44593</v>
      </c>
      <c r="V527" s="7">
        <v>0.51877013502314817</v>
      </c>
      <c r="W527" s="6">
        <v>44609</v>
      </c>
      <c r="X527" s="7">
        <v>0.70833333333333337</v>
      </c>
      <c r="Y527" s="8">
        <v>44610.581863425927</v>
      </c>
      <c r="Z527" s="5">
        <v>510</v>
      </c>
      <c r="AA527" s="1" t="s">
        <v>3403</v>
      </c>
      <c r="AB527" s="1"/>
      <c r="AC527" s="1"/>
      <c r="AD527" s="1"/>
      <c r="AE527" s="1" t="s">
        <v>3788</v>
      </c>
      <c r="AF527" s="1" t="s">
        <v>9</v>
      </c>
      <c r="AG527" s="1" t="s">
        <v>9</v>
      </c>
      <c r="AH527" s="1"/>
      <c r="AI527" s="6">
        <v>44926</v>
      </c>
    </row>
    <row r="528" spans="1:35" x14ac:dyDescent="0.3">
      <c r="A528" s="1" t="s">
        <v>2058</v>
      </c>
      <c r="B528" s="2" t="str">
        <f>HYPERLINK("https://my.zakupki.prom.ua/remote/dispatcher/state_purchase_view/34688288")</f>
        <v>https://my.zakupki.prom.ua/remote/dispatcher/state_purchase_view/34688288</v>
      </c>
      <c r="C528" s="1" t="s">
        <v>3530</v>
      </c>
      <c r="D528" s="1" t="s">
        <v>1218</v>
      </c>
      <c r="E528" s="4">
        <v>1</v>
      </c>
      <c r="F528" s="5">
        <v>10100</v>
      </c>
      <c r="G528" s="1" t="s">
        <v>4940</v>
      </c>
      <c r="H528" s="1" t="s">
        <v>62</v>
      </c>
      <c r="I528" s="1" t="s">
        <v>3159</v>
      </c>
      <c r="J528" s="5">
        <v>10100</v>
      </c>
      <c r="K528" s="1" t="s">
        <v>3394</v>
      </c>
      <c r="L528" s="5">
        <v>55</v>
      </c>
      <c r="M528" s="1" t="s">
        <v>2308</v>
      </c>
      <c r="N528" s="1" t="s">
        <v>3983</v>
      </c>
      <c r="O528" s="1" t="s">
        <v>2521</v>
      </c>
      <c r="P528" s="1" t="s">
        <v>2762</v>
      </c>
      <c r="Q528" s="1" t="s">
        <v>2761</v>
      </c>
      <c r="R528" s="1" t="s">
        <v>4516</v>
      </c>
      <c r="S528" s="1" t="s">
        <v>4937</v>
      </c>
      <c r="T528" s="6">
        <v>44593</v>
      </c>
      <c r="U528" s="6">
        <v>44599</v>
      </c>
      <c r="V528" s="7">
        <v>0.375</v>
      </c>
      <c r="W528" s="6">
        <v>44602</v>
      </c>
      <c r="X528" s="7">
        <v>0.375</v>
      </c>
      <c r="Y528" s="1" t="s">
        <v>4860</v>
      </c>
      <c r="Z528" s="5">
        <v>17</v>
      </c>
      <c r="AA528" s="1" t="s">
        <v>3403</v>
      </c>
      <c r="AB528" s="1"/>
      <c r="AC528" s="1"/>
      <c r="AD528" s="1"/>
      <c r="AE528" s="1" t="s">
        <v>3750</v>
      </c>
      <c r="AF528" s="1" t="s">
        <v>9</v>
      </c>
      <c r="AG528" s="4">
        <v>9</v>
      </c>
      <c r="AH528" s="1"/>
      <c r="AI528" s="6">
        <v>44651</v>
      </c>
    </row>
    <row r="529" spans="1:35" x14ac:dyDescent="0.3">
      <c r="A529" s="1" t="s">
        <v>1655</v>
      </c>
      <c r="B529" s="2" t="str">
        <f>HYPERLINK("https://my.zakupki.prom.ua/remote/dispatcher/state_purchase_view/34688281")</f>
        <v>https://my.zakupki.prom.ua/remote/dispatcher/state_purchase_view/34688281</v>
      </c>
      <c r="C529" s="1" t="s">
        <v>3483</v>
      </c>
      <c r="D529" s="1" t="s">
        <v>694</v>
      </c>
      <c r="E529" s="4">
        <v>510</v>
      </c>
      <c r="F529" s="5">
        <v>196.08</v>
      </c>
      <c r="G529" s="1" t="s">
        <v>4936</v>
      </c>
      <c r="H529" s="1" t="s">
        <v>894</v>
      </c>
      <c r="I529" s="1" t="s">
        <v>4745</v>
      </c>
      <c r="J529" s="5">
        <v>100000</v>
      </c>
      <c r="K529" s="1" t="s">
        <v>3394</v>
      </c>
      <c r="L529" s="5">
        <v>500</v>
      </c>
      <c r="M529" s="1" t="s">
        <v>2308</v>
      </c>
      <c r="N529" s="1" t="s">
        <v>3983</v>
      </c>
      <c r="O529" s="1" t="s">
        <v>2521</v>
      </c>
      <c r="P529" s="1" t="s">
        <v>3956</v>
      </c>
      <c r="Q529" s="1" t="s">
        <v>3035</v>
      </c>
      <c r="R529" s="1" t="s">
        <v>4293</v>
      </c>
      <c r="S529" s="1" t="s">
        <v>4937</v>
      </c>
      <c r="T529" s="6">
        <v>44593</v>
      </c>
      <c r="U529" s="6">
        <v>44599</v>
      </c>
      <c r="V529" s="7">
        <v>0</v>
      </c>
      <c r="W529" s="6">
        <v>44602</v>
      </c>
      <c r="X529" s="7">
        <v>0</v>
      </c>
      <c r="Y529" s="1" t="s">
        <v>4860</v>
      </c>
      <c r="Z529" s="5">
        <v>340</v>
      </c>
      <c r="AA529" s="1" t="s">
        <v>3403</v>
      </c>
      <c r="AB529" s="1"/>
      <c r="AC529" s="1"/>
      <c r="AD529" s="1"/>
      <c r="AE529" s="1" t="s">
        <v>3771</v>
      </c>
      <c r="AF529" s="1" t="s">
        <v>9</v>
      </c>
      <c r="AG529" s="4">
        <v>165</v>
      </c>
      <c r="AH529" s="1"/>
      <c r="AI529" s="6">
        <v>44635</v>
      </c>
    </row>
    <row r="530" spans="1:35" x14ac:dyDescent="0.3">
      <c r="A530" s="1" t="s">
        <v>1651</v>
      </c>
      <c r="B530" s="2" t="str">
        <f>HYPERLINK("https://my.zakupki.prom.ua/remote/dispatcher/state_purchase_view/34688277")</f>
        <v>https://my.zakupki.prom.ua/remote/dispatcher/state_purchase_view/34688277</v>
      </c>
      <c r="C530" s="1" t="s">
        <v>3505</v>
      </c>
      <c r="D530" s="1" t="s">
        <v>530</v>
      </c>
      <c r="E530" s="4">
        <v>744</v>
      </c>
      <c r="F530" s="5">
        <v>26.08</v>
      </c>
      <c r="G530" s="1" t="s">
        <v>4985</v>
      </c>
      <c r="H530" s="1" t="s">
        <v>605</v>
      </c>
      <c r="I530" s="1" t="s">
        <v>2807</v>
      </c>
      <c r="J530" s="5">
        <v>19400</v>
      </c>
      <c r="K530" s="1" t="s">
        <v>3394</v>
      </c>
      <c r="L530" s="5">
        <v>200</v>
      </c>
      <c r="M530" s="1" t="s">
        <v>2308</v>
      </c>
      <c r="N530" s="1" t="s">
        <v>3983</v>
      </c>
      <c r="O530" s="1" t="s">
        <v>2521</v>
      </c>
      <c r="P530" s="1" t="s">
        <v>2762</v>
      </c>
      <c r="Q530" s="1" t="s">
        <v>3035</v>
      </c>
      <c r="R530" s="1" t="s">
        <v>4213</v>
      </c>
      <c r="S530" s="1" t="s">
        <v>4937</v>
      </c>
      <c r="T530" s="6">
        <v>44593</v>
      </c>
      <c r="U530" s="6">
        <v>44599</v>
      </c>
      <c r="V530" s="7">
        <v>0</v>
      </c>
      <c r="W530" s="6">
        <v>44602</v>
      </c>
      <c r="X530" s="7">
        <v>0</v>
      </c>
      <c r="Y530" s="1" t="s">
        <v>4860</v>
      </c>
      <c r="Z530" s="5">
        <v>17</v>
      </c>
      <c r="AA530" s="1" t="s">
        <v>3403</v>
      </c>
      <c r="AB530" s="1"/>
      <c r="AC530" s="1"/>
      <c r="AD530" s="1"/>
      <c r="AE530" s="1" t="s">
        <v>3765</v>
      </c>
      <c r="AF530" s="1" t="s">
        <v>9</v>
      </c>
      <c r="AG530" s="4">
        <v>20</v>
      </c>
      <c r="AH530" s="1"/>
      <c r="AI530" s="6">
        <v>44926</v>
      </c>
    </row>
    <row r="531" spans="1:35" x14ac:dyDescent="0.3">
      <c r="A531" s="1" t="s">
        <v>1649</v>
      </c>
      <c r="B531" s="2" t="str">
        <f>HYPERLINK("https://my.zakupki.prom.ua/remote/dispatcher/state_purchase_lot_view/740721")</f>
        <v>https://my.zakupki.prom.ua/remote/dispatcher/state_purchase_lot_view/740721</v>
      </c>
      <c r="C531" s="1" t="s">
        <v>4781</v>
      </c>
      <c r="D531" s="1" t="s">
        <v>776</v>
      </c>
      <c r="E531" s="4">
        <v>1</v>
      </c>
      <c r="F531" s="5">
        <v>440000</v>
      </c>
      <c r="G531" s="1" t="s">
        <v>4991</v>
      </c>
      <c r="H531" s="1" t="s">
        <v>705</v>
      </c>
      <c r="I531" s="1" t="s">
        <v>3127</v>
      </c>
      <c r="J531" s="5">
        <v>600000</v>
      </c>
      <c r="K531" s="5">
        <v>440000</v>
      </c>
      <c r="L531" s="5">
        <v>2200</v>
      </c>
      <c r="M531" s="1" t="s">
        <v>2308</v>
      </c>
      <c r="N531" s="1" t="s">
        <v>3983</v>
      </c>
      <c r="O531" s="1" t="s">
        <v>2521</v>
      </c>
      <c r="P531" s="1" t="s">
        <v>2515</v>
      </c>
      <c r="Q531" s="1" t="s">
        <v>4833</v>
      </c>
      <c r="R531" s="1" t="s">
        <v>4081</v>
      </c>
      <c r="S531" s="1" t="s">
        <v>4971</v>
      </c>
      <c r="T531" s="6">
        <v>44593</v>
      </c>
      <c r="U531" s="6">
        <v>44593</v>
      </c>
      <c r="V531" s="7">
        <v>0.53184238958333341</v>
      </c>
      <c r="W531" s="6">
        <v>44609</v>
      </c>
      <c r="X531" s="7">
        <v>0</v>
      </c>
      <c r="Y531" s="8">
        <v>44609.513194444444</v>
      </c>
      <c r="Z531" s="5">
        <v>510</v>
      </c>
      <c r="AA531" s="1" t="s">
        <v>3403</v>
      </c>
      <c r="AB531" s="1"/>
      <c r="AC531" s="1"/>
      <c r="AD531" s="1"/>
      <c r="AE531" s="1" t="s">
        <v>3775</v>
      </c>
      <c r="AF531" s="1" t="s">
        <v>9</v>
      </c>
      <c r="AG531" s="4">
        <v>1</v>
      </c>
      <c r="AH531" s="1"/>
      <c r="AI531" s="6">
        <v>44926</v>
      </c>
    </row>
    <row r="532" spans="1:35" x14ac:dyDescent="0.3">
      <c r="A532" s="1" t="s">
        <v>1649</v>
      </c>
      <c r="B532" s="2" t="str">
        <f>HYPERLINK("https://my.zakupki.prom.ua/remote/dispatcher/state_purchase_lot_view/740722")</f>
        <v>https://my.zakupki.prom.ua/remote/dispatcher/state_purchase_lot_view/740722</v>
      </c>
      <c r="C532" s="1" t="s">
        <v>4782</v>
      </c>
      <c r="D532" s="1" t="s">
        <v>776</v>
      </c>
      <c r="E532" s="4">
        <v>1</v>
      </c>
      <c r="F532" s="5">
        <v>160000</v>
      </c>
      <c r="G532" s="1" t="s">
        <v>4991</v>
      </c>
      <c r="H532" s="1" t="s">
        <v>705</v>
      </c>
      <c r="I532" s="1" t="s">
        <v>3127</v>
      </c>
      <c r="J532" s="5">
        <v>600000</v>
      </c>
      <c r="K532" s="5">
        <v>160000</v>
      </c>
      <c r="L532" s="5">
        <v>800</v>
      </c>
      <c r="M532" s="1" t="s">
        <v>2308</v>
      </c>
      <c r="N532" s="1" t="s">
        <v>3983</v>
      </c>
      <c r="O532" s="1" t="s">
        <v>2521</v>
      </c>
      <c r="P532" s="1" t="s">
        <v>2515</v>
      </c>
      <c r="Q532" s="1" t="s">
        <v>4833</v>
      </c>
      <c r="R532" s="1" t="s">
        <v>4081</v>
      </c>
      <c r="S532" s="1" t="s">
        <v>4971</v>
      </c>
      <c r="T532" s="6">
        <v>44593</v>
      </c>
      <c r="U532" s="6">
        <v>44593</v>
      </c>
      <c r="V532" s="7">
        <v>0.53184238958333341</v>
      </c>
      <c r="W532" s="6">
        <v>44609</v>
      </c>
      <c r="X532" s="7">
        <v>0</v>
      </c>
      <c r="Y532" s="8">
        <v>44609.529432870368</v>
      </c>
      <c r="Z532" s="5">
        <v>340</v>
      </c>
      <c r="AA532" s="1" t="s">
        <v>3403</v>
      </c>
      <c r="AB532" s="1"/>
      <c r="AC532" s="1"/>
      <c r="AD532" s="1"/>
      <c r="AE532" s="1" t="s">
        <v>3775</v>
      </c>
      <c r="AF532" s="1" t="s">
        <v>9</v>
      </c>
      <c r="AG532" s="4">
        <v>1</v>
      </c>
      <c r="AH532" s="1"/>
      <c r="AI532" s="6">
        <v>44926</v>
      </c>
    </row>
    <row r="533" spans="1:35" x14ac:dyDescent="0.3">
      <c r="A533" s="1" t="s">
        <v>1647</v>
      </c>
      <c r="B533" s="2" t="str">
        <f>HYPERLINK("https://my.zakupki.prom.ua/remote/dispatcher/state_purchase_view/34688274")</f>
        <v>https://my.zakupki.prom.ua/remote/dispatcher/state_purchase_view/34688274</v>
      </c>
      <c r="C533" s="1" t="s">
        <v>4876</v>
      </c>
      <c r="D533" s="1" t="s">
        <v>387</v>
      </c>
      <c r="E533" s="4">
        <v>7371000</v>
      </c>
      <c r="F533" s="5">
        <v>4.8</v>
      </c>
      <c r="G533" s="1" t="s">
        <v>4879</v>
      </c>
      <c r="H533" s="1" t="s">
        <v>22</v>
      </c>
      <c r="I533" s="1" t="s">
        <v>2695</v>
      </c>
      <c r="J533" s="5">
        <v>35380800</v>
      </c>
      <c r="K533" s="1" t="s">
        <v>3394</v>
      </c>
      <c r="L533" s="5">
        <v>353808</v>
      </c>
      <c r="M533" s="1" t="s">
        <v>2308</v>
      </c>
      <c r="N533" s="1" t="s">
        <v>3983</v>
      </c>
      <c r="O533" s="1" t="s">
        <v>2521</v>
      </c>
      <c r="P533" s="1" t="s">
        <v>2516</v>
      </c>
      <c r="Q533" s="1" t="s">
        <v>2497</v>
      </c>
      <c r="R533" s="1" t="s">
        <v>4704</v>
      </c>
      <c r="S533" s="1" t="s">
        <v>4971</v>
      </c>
      <c r="T533" s="6">
        <v>44593</v>
      </c>
      <c r="U533" s="6">
        <v>44593</v>
      </c>
      <c r="V533" s="7">
        <v>0.53026325081018522</v>
      </c>
      <c r="W533" s="6">
        <v>44624</v>
      </c>
      <c r="X533" s="7">
        <v>0.33333333333333331</v>
      </c>
      <c r="Y533" s="8">
        <v>44662.539039351854</v>
      </c>
      <c r="Z533" s="5">
        <v>3400</v>
      </c>
      <c r="AA533" s="1" t="s">
        <v>3403</v>
      </c>
      <c r="AB533" s="1"/>
      <c r="AC533" s="1"/>
      <c r="AD533" s="1"/>
      <c r="AE533" s="1" t="s">
        <v>3788</v>
      </c>
      <c r="AF533" s="1" t="s">
        <v>9</v>
      </c>
      <c r="AG533" s="1" t="s">
        <v>9</v>
      </c>
      <c r="AH533" s="6">
        <v>44652</v>
      </c>
      <c r="AI533" s="6">
        <v>44926</v>
      </c>
    </row>
    <row r="534" spans="1:35" x14ac:dyDescent="0.3">
      <c r="A534" s="1" t="s">
        <v>2026</v>
      </c>
      <c r="B534" s="2" t="str">
        <f>HYPERLINK("https://my.zakupki.prom.ua/remote/dispatcher/state_purchase_view/34688258")</f>
        <v>https://my.zakupki.prom.ua/remote/dispatcher/state_purchase_view/34688258</v>
      </c>
      <c r="C534" s="1" t="s">
        <v>2776</v>
      </c>
      <c r="D534" s="1" t="s">
        <v>387</v>
      </c>
      <c r="E534" s="4">
        <v>48639</v>
      </c>
      <c r="F534" s="5">
        <v>5</v>
      </c>
      <c r="G534" s="1" t="s">
        <v>4879</v>
      </c>
      <c r="H534" s="1" t="s">
        <v>544</v>
      </c>
      <c r="I534" s="1" t="s">
        <v>3205</v>
      </c>
      <c r="J534" s="5">
        <v>243195</v>
      </c>
      <c r="K534" s="1" t="s">
        <v>3394</v>
      </c>
      <c r="L534" s="5">
        <v>2431.9499999999998</v>
      </c>
      <c r="M534" s="1" t="s">
        <v>2308</v>
      </c>
      <c r="N534" s="1" t="s">
        <v>3983</v>
      </c>
      <c r="O534" s="1" t="s">
        <v>2521</v>
      </c>
      <c r="P534" s="1" t="s">
        <v>2515</v>
      </c>
      <c r="Q534" s="1" t="s">
        <v>2820</v>
      </c>
      <c r="R534" s="1" t="s">
        <v>4402</v>
      </c>
      <c r="S534" s="1" t="s">
        <v>4971</v>
      </c>
      <c r="T534" s="6">
        <v>44593</v>
      </c>
      <c r="U534" s="6">
        <v>44593</v>
      </c>
      <c r="V534" s="7">
        <v>0.52546469120370365</v>
      </c>
      <c r="W534" s="6">
        <v>44609</v>
      </c>
      <c r="X534" s="7">
        <v>0.66666666666666663</v>
      </c>
      <c r="Y534" s="8">
        <v>44610.600543981483</v>
      </c>
      <c r="Z534" s="5">
        <v>510</v>
      </c>
      <c r="AA534" s="1" t="s">
        <v>3403</v>
      </c>
      <c r="AB534" s="1"/>
      <c r="AC534" s="1"/>
      <c r="AD534" s="1"/>
      <c r="AE534" s="1" t="s">
        <v>3782</v>
      </c>
      <c r="AF534" s="1" t="s">
        <v>9</v>
      </c>
      <c r="AG534" s="4">
        <v>2</v>
      </c>
      <c r="AH534" s="1"/>
      <c r="AI534" s="6">
        <v>44926</v>
      </c>
    </row>
    <row r="535" spans="1:35" x14ac:dyDescent="0.3">
      <c r="A535" s="1" t="s">
        <v>2016</v>
      </c>
      <c r="B535" s="2" t="str">
        <f>HYPERLINK("https://my.zakupki.prom.ua/remote/dispatcher/state_purchase_view/34688256")</f>
        <v>https://my.zakupki.prom.ua/remote/dispatcher/state_purchase_view/34688256</v>
      </c>
      <c r="C535" s="1" t="s">
        <v>3477</v>
      </c>
      <c r="D535" s="1" t="s">
        <v>373</v>
      </c>
      <c r="E535" s="4">
        <v>2</v>
      </c>
      <c r="F535" s="5">
        <v>99500</v>
      </c>
      <c r="G535" s="1" t="s">
        <v>4924</v>
      </c>
      <c r="H535" s="1" t="s">
        <v>609</v>
      </c>
      <c r="I535" s="1" t="s">
        <v>2841</v>
      </c>
      <c r="J535" s="5">
        <v>199000</v>
      </c>
      <c r="K535" s="1" t="s">
        <v>3394</v>
      </c>
      <c r="L535" s="5">
        <v>1990</v>
      </c>
      <c r="M535" s="1" t="s">
        <v>2308</v>
      </c>
      <c r="N535" s="1" t="s">
        <v>3983</v>
      </c>
      <c r="O535" s="1" t="s">
        <v>2521</v>
      </c>
      <c r="P535" s="1" t="s">
        <v>3956</v>
      </c>
      <c r="Q535" s="1" t="s">
        <v>3264</v>
      </c>
      <c r="R535" s="1" t="s">
        <v>4041</v>
      </c>
      <c r="S535" s="1" t="s">
        <v>4937</v>
      </c>
      <c r="T535" s="6">
        <v>44593</v>
      </c>
      <c r="U535" s="6">
        <v>44599</v>
      </c>
      <c r="V535" s="7">
        <v>0.375</v>
      </c>
      <c r="W535" s="6">
        <v>44602</v>
      </c>
      <c r="X535" s="7">
        <v>0.375</v>
      </c>
      <c r="Y535" s="1" t="s">
        <v>4860</v>
      </c>
      <c r="Z535" s="5">
        <v>340</v>
      </c>
      <c r="AA535" s="1" t="s">
        <v>3403</v>
      </c>
      <c r="AB535" s="1"/>
      <c r="AC535" s="1"/>
      <c r="AD535" s="1"/>
      <c r="AE535" s="1" t="s">
        <v>3788</v>
      </c>
      <c r="AF535" s="1" t="s">
        <v>9</v>
      </c>
      <c r="AG535" s="4">
        <v>1</v>
      </c>
      <c r="AH535" s="1"/>
      <c r="AI535" s="6">
        <v>44926</v>
      </c>
    </row>
    <row r="536" spans="1:35" x14ac:dyDescent="0.3">
      <c r="A536" s="1" t="s">
        <v>2017</v>
      </c>
      <c r="B536" s="2" t="str">
        <f>HYPERLINK("https://my.zakupki.prom.ua/remote/dispatcher/state_purchase_view/34688255")</f>
        <v>https://my.zakupki.prom.ua/remote/dispatcher/state_purchase_view/34688255</v>
      </c>
      <c r="C536" s="1" t="s">
        <v>3581</v>
      </c>
      <c r="D536" s="1" t="s">
        <v>1168</v>
      </c>
      <c r="E536" s="4">
        <v>1</v>
      </c>
      <c r="F536" s="5">
        <v>43375</v>
      </c>
      <c r="G536" s="1" t="s">
        <v>4940</v>
      </c>
      <c r="H536" s="1" t="s">
        <v>25</v>
      </c>
      <c r="I536" s="1" t="s">
        <v>3647</v>
      </c>
      <c r="J536" s="5">
        <v>43375</v>
      </c>
      <c r="K536" s="1" t="s">
        <v>3394</v>
      </c>
      <c r="L536" s="5">
        <v>433.75</v>
      </c>
      <c r="M536" s="1" t="s">
        <v>2308</v>
      </c>
      <c r="N536" s="1" t="s">
        <v>3403</v>
      </c>
      <c r="O536" s="1" t="s">
        <v>2521</v>
      </c>
      <c r="P536" s="1" t="s">
        <v>2515</v>
      </c>
      <c r="Q536" s="1" t="s">
        <v>4831</v>
      </c>
      <c r="R536" s="1" t="s">
        <v>4664</v>
      </c>
      <c r="S536" s="1" t="s">
        <v>4971</v>
      </c>
      <c r="T536" s="6">
        <v>44593</v>
      </c>
      <c r="U536" s="6">
        <v>44593</v>
      </c>
      <c r="V536" s="7">
        <v>0.52158986112268524</v>
      </c>
      <c r="W536" s="6">
        <v>44609</v>
      </c>
      <c r="X536" s="7">
        <v>0</v>
      </c>
      <c r="Y536" s="8">
        <v>44609.476840277777</v>
      </c>
      <c r="Z536" s="5">
        <v>119</v>
      </c>
      <c r="AA536" s="1" t="s">
        <v>3403</v>
      </c>
      <c r="AB536" s="1"/>
      <c r="AC536" s="1"/>
      <c r="AD536" s="1"/>
      <c r="AE536" s="1" t="s">
        <v>3744</v>
      </c>
      <c r="AF536" s="1" t="s">
        <v>9</v>
      </c>
      <c r="AG536" s="4">
        <v>21</v>
      </c>
      <c r="AH536" s="6">
        <v>44621</v>
      </c>
      <c r="AI536" s="6">
        <v>44926</v>
      </c>
    </row>
    <row r="537" spans="1:35" x14ac:dyDescent="0.3">
      <c r="A537" s="1" t="s">
        <v>1653</v>
      </c>
      <c r="B537" s="2" t="str">
        <f>HYPERLINK("https://my.zakupki.prom.ua/remote/dispatcher/state_purchase_view/34688244")</f>
        <v>https://my.zakupki.prom.ua/remote/dispatcher/state_purchase_view/34688244</v>
      </c>
      <c r="C537" s="1" t="s">
        <v>3390</v>
      </c>
      <c r="D537" s="1" t="s">
        <v>694</v>
      </c>
      <c r="E537" s="4">
        <v>5000</v>
      </c>
      <c r="F537" s="5">
        <v>210</v>
      </c>
      <c r="G537" s="1" t="s">
        <v>4936</v>
      </c>
      <c r="H537" s="1" t="s">
        <v>919</v>
      </c>
      <c r="I537" s="1" t="s">
        <v>2563</v>
      </c>
      <c r="J537" s="5">
        <v>1050000</v>
      </c>
      <c r="K537" s="1" t="s">
        <v>3394</v>
      </c>
      <c r="L537" s="5">
        <v>5250</v>
      </c>
      <c r="M537" s="1" t="s">
        <v>2308</v>
      </c>
      <c r="N537" s="1" t="s">
        <v>3983</v>
      </c>
      <c r="O537" s="1" t="s">
        <v>2521</v>
      </c>
      <c r="P537" s="1" t="s">
        <v>2515</v>
      </c>
      <c r="Q537" s="1" t="s">
        <v>3426</v>
      </c>
      <c r="R537" s="1" t="s">
        <v>4081</v>
      </c>
      <c r="S537" s="1" t="s">
        <v>4971</v>
      </c>
      <c r="T537" s="6">
        <v>44593</v>
      </c>
      <c r="U537" s="6">
        <v>44593</v>
      </c>
      <c r="V537" s="7">
        <v>0.53485409619212965</v>
      </c>
      <c r="W537" s="6">
        <v>44609</v>
      </c>
      <c r="X537" s="7">
        <v>0</v>
      </c>
      <c r="Y537" s="8">
        <v>44609.556168981479</v>
      </c>
      <c r="Z537" s="5">
        <v>1700</v>
      </c>
      <c r="AA537" s="1" t="s">
        <v>3403</v>
      </c>
      <c r="AB537" s="1"/>
      <c r="AC537" s="1"/>
      <c r="AD537" s="1"/>
      <c r="AE537" s="1" t="s">
        <v>3768</v>
      </c>
      <c r="AF537" s="1" t="s">
        <v>9</v>
      </c>
      <c r="AG537" s="4">
        <v>8</v>
      </c>
      <c r="AH537" s="1"/>
      <c r="AI537" s="6">
        <v>44926</v>
      </c>
    </row>
    <row r="538" spans="1:35" x14ac:dyDescent="0.3">
      <c r="A538" s="1" t="s">
        <v>1650</v>
      </c>
      <c r="B538" s="2" t="str">
        <f>HYPERLINK("https://my.zakupki.prom.ua/remote/dispatcher/state_purchase_view/34688233")</f>
        <v>https://my.zakupki.prom.ua/remote/dispatcher/state_purchase_view/34688233</v>
      </c>
      <c r="C538" s="1" t="s">
        <v>3534</v>
      </c>
      <c r="D538" s="1" t="s">
        <v>1231</v>
      </c>
      <c r="E538" s="1" t="s">
        <v>4903</v>
      </c>
      <c r="F538" s="1" t="s">
        <v>4903</v>
      </c>
      <c r="G538" s="1" t="s">
        <v>4903</v>
      </c>
      <c r="H538" s="1" t="s">
        <v>64</v>
      </c>
      <c r="I538" s="1" t="s">
        <v>2910</v>
      </c>
      <c r="J538" s="5">
        <v>3448.5</v>
      </c>
      <c r="K538" s="1" t="s">
        <v>3394</v>
      </c>
      <c r="L538" s="5">
        <v>17.239999999999998</v>
      </c>
      <c r="M538" s="1" t="s">
        <v>2308</v>
      </c>
      <c r="N538" s="1" t="s">
        <v>3983</v>
      </c>
      <c r="O538" s="1" t="s">
        <v>2521</v>
      </c>
      <c r="P538" s="1" t="s">
        <v>3956</v>
      </c>
      <c r="Q538" s="1" t="s">
        <v>2761</v>
      </c>
      <c r="R538" s="1" t="s">
        <v>4104</v>
      </c>
      <c r="S538" s="1" t="s">
        <v>4937</v>
      </c>
      <c r="T538" s="6">
        <v>44593</v>
      </c>
      <c r="U538" s="6">
        <v>44599</v>
      </c>
      <c r="V538" s="7">
        <v>0.625</v>
      </c>
      <c r="W538" s="6">
        <v>44603</v>
      </c>
      <c r="X538" s="7">
        <v>0</v>
      </c>
      <c r="Y538" s="1" t="s">
        <v>4860</v>
      </c>
      <c r="Z538" s="5">
        <v>17</v>
      </c>
      <c r="AA538" s="1" t="s">
        <v>3403</v>
      </c>
      <c r="AB538" s="1"/>
      <c r="AC538" s="1"/>
      <c r="AD538" s="1"/>
      <c r="AE538" s="1" t="s">
        <v>3728</v>
      </c>
      <c r="AF538" s="1" t="s">
        <v>9</v>
      </c>
      <c r="AG538" s="4">
        <v>2</v>
      </c>
      <c r="AH538" s="1"/>
      <c r="AI538" s="6">
        <v>44926</v>
      </c>
    </row>
    <row r="539" spans="1:35" x14ac:dyDescent="0.3">
      <c r="A539" s="1" t="s">
        <v>1652</v>
      </c>
      <c r="B539" s="2" t="str">
        <f>HYPERLINK("https://my.zakupki.prom.ua/remote/dispatcher/state_purchase_view/34688235")</f>
        <v>https://my.zakupki.prom.ua/remote/dispatcher/state_purchase_view/34688235</v>
      </c>
      <c r="C539" s="1" t="s">
        <v>4980</v>
      </c>
      <c r="D539" s="1" t="s">
        <v>1103</v>
      </c>
      <c r="E539" s="1" t="s">
        <v>4903</v>
      </c>
      <c r="F539" s="1" t="s">
        <v>4903</v>
      </c>
      <c r="G539" s="1" t="s">
        <v>4903</v>
      </c>
      <c r="H539" s="1" t="s">
        <v>248</v>
      </c>
      <c r="I539" s="1" t="s">
        <v>3214</v>
      </c>
      <c r="J539" s="5">
        <v>200000</v>
      </c>
      <c r="K539" s="1" t="s">
        <v>3394</v>
      </c>
      <c r="L539" s="5">
        <v>2000</v>
      </c>
      <c r="M539" s="1" t="s">
        <v>2308</v>
      </c>
      <c r="N539" s="1" t="s">
        <v>3983</v>
      </c>
      <c r="O539" s="1" t="s">
        <v>2521</v>
      </c>
      <c r="P539" s="1" t="s">
        <v>3956</v>
      </c>
      <c r="Q539" s="1" t="s">
        <v>2796</v>
      </c>
      <c r="R539" s="1" t="s">
        <v>4486</v>
      </c>
      <c r="S539" s="1" t="s">
        <v>4937</v>
      </c>
      <c r="T539" s="6">
        <v>44593</v>
      </c>
      <c r="U539" s="6">
        <v>44599</v>
      </c>
      <c r="V539" s="7">
        <v>0.5</v>
      </c>
      <c r="W539" s="6">
        <v>44602</v>
      </c>
      <c r="X539" s="7">
        <v>0.41666666666666669</v>
      </c>
      <c r="Y539" s="1" t="s">
        <v>4860</v>
      </c>
      <c r="Z539" s="5">
        <v>340</v>
      </c>
      <c r="AA539" s="1" t="s">
        <v>3403</v>
      </c>
      <c r="AB539" s="1"/>
      <c r="AC539" s="1"/>
      <c r="AD539" s="1"/>
      <c r="AE539" s="1" t="s">
        <v>3787</v>
      </c>
      <c r="AF539" s="1" t="s">
        <v>9</v>
      </c>
      <c r="AG539" s="4">
        <v>12</v>
      </c>
      <c r="AH539" s="1"/>
      <c r="AI539" s="6">
        <v>44926</v>
      </c>
    </row>
    <row r="540" spans="1:35" x14ac:dyDescent="0.3">
      <c r="A540" s="1" t="s">
        <v>1638</v>
      </c>
      <c r="B540" s="2" t="str">
        <f>HYPERLINK("https://my.zakupki.prom.ua/remote/dispatcher/state_purchase_lot_view/740719")</f>
        <v>https://my.zakupki.prom.ua/remote/dispatcher/state_purchase_lot_view/740719</v>
      </c>
      <c r="C540" s="1" t="s">
        <v>3271</v>
      </c>
      <c r="D540" s="1" t="s">
        <v>801</v>
      </c>
      <c r="E540" s="1" t="s">
        <v>4903</v>
      </c>
      <c r="F540" s="1" t="s">
        <v>4903</v>
      </c>
      <c r="G540" s="1" t="s">
        <v>4903</v>
      </c>
      <c r="H540" s="1" t="s">
        <v>24</v>
      </c>
      <c r="I540" s="1" t="s">
        <v>2875</v>
      </c>
      <c r="J540" s="5">
        <v>3500000</v>
      </c>
      <c r="K540" s="5">
        <v>2500000</v>
      </c>
      <c r="L540" s="5">
        <v>25000</v>
      </c>
      <c r="M540" s="1" t="s">
        <v>2308</v>
      </c>
      <c r="N540" s="1" t="s">
        <v>3983</v>
      </c>
      <c r="O540" s="1" t="s">
        <v>2521</v>
      </c>
      <c r="P540" s="1" t="s">
        <v>2515</v>
      </c>
      <c r="Q540" s="1" t="s">
        <v>3035</v>
      </c>
      <c r="R540" s="1" t="s">
        <v>4560</v>
      </c>
      <c r="S540" s="1" t="s">
        <v>4971</v>
      </c>
      <c r="T540" s="6">
        <v>44593</v>
      </c>
      <c r="U540" s="6">
        <v>44593</v>
      </c>
      <c r="V540" s="7">
        <v>0.52482683810185182</v>
      </c>
      <c r="W540" s="6">
        <v>44609</v>
      </c>
      <c r="X540" s="7">
        <v>0.70833333333333337</v>
      </c>
      <c r="Y540" s="8">
        <v>44610.606689814813</v>
      </c>
      <c r="Z540" s="5">
        <v>1700</v>
      </c>
      <c r="AA540" s="1" t="s">
        <v>3403</v>
      </c>
      <c r="AB540" s="1"/>
      <c r="AC540" s="1"/>
      <c r="AD540" s="1"/>
      <c r="AE540" s="1" t="s">
        <v>3765</v>
      </c>
      <c r="AF540" s="1" t="s">
        <v>9</v>
      </c>
      <c r="AG540" s="4">
        <v>24</v>
      </c>
      <c r="AH540" s="1"/>
      <c r="AI540" s="6">
        <v>44926</v>
      </c>
    </row>
    <row r="541" spans="1:35" x14ac:dyDescent="0.3">
      <c r="A541" s="1" t="s">
        <v>1638</v>
      </c>
      <c r="B541" s="2" t="str">
        <f>HYPERLINK("https://my.zakupki.prom.ua/remote/dispatcher/state_purchase_lot_view/740720")</f>
        <v>https://my.zakupki.prom.ua/remote/dispatcher/state_purchase_lot_view/740720</v>
      </c>
      <c r="C541" s="1" t="s">
        <v>3272</v>
      </c>
      <c r="D541" s="1" t="s">
        <v>801</v>
      </c>
      <c r="E541" s="1" t="s">
        <v>4903</v>
      </c>
      <c r="F541" s="1" t="s">
        <v>4903</v>
      </c>
      <c r="G541" s="1" t="s">
        <v>4903</v>
      </c>
      <c r="H541" s="1" t="s">
        <v>24</v>
      </c>
      <c r="I541" s="1" t="s">
        <v>2875</v>
      </c>
      <c r="J541" s="5">
        <v>3500000</v>
      </c>
      <c r="K541" s="5">
        <v>1000000</v>
      </c>
      <c r="L541" s="5">
        <v>10000</v>
      </c>
      <c r="M541" s="1" t="s">
        <v>2308</v>
      </c>
      <c r="N541" s="1" t="s">
        <v>3983</v>
      </c>
      <c r="O541" s="1" t="s">
        <v>2521</v>
      </c>
      <c r="P541" s="1" t="s">
        <v>2515</v>
      </c>
      <c r="Q541" s="1" t="s">
        <v>3035</v>
      </c>
      <c r="R541" s="1" t="s">
        <v>4560</v>
      </c>
      <c r="S541" s="1" t="s">
        <v>4971</v>
      </c>
      <c r="T541" s="6">
        <v>44593</v>
      </c>
      <c r="U541" s="6">
        <v>44593</v>
      </c>
      <c r="V541" s="7">
        <v>0.52482683810185182</v>
      </c>
      <c r="W541" s="6">
        <v>44609</v>
      </c>
      <c r="X541" s="7">
        <v>0.70833333333333337</v>
      </c>
      <c r="Y541" s="8">
        <v>44610.630324074074</v>
      </c>
      <c r="Z541" s="5">
        <v>510</v>
      </c>
      <c r="AA541" s="1" t="s">
        <v>3403</v>
      </c>
      <c r="AB541" s="1"/>
      <c r="AC541" s="1"/>
      <c r="AD541" s="1"/>
      <c r="AE541" s="1" t="s">
        <v>2364</v>
      </c>
      <c r="AF541" s="1" t="s">
        <v>9</v>
      </c>
      <c r="AG541" s="4">
        <v>24</v>
      </c>
      <c r="AH541" s="1"/>
      <c r="AI541" s="6">
        <v>44926</v>
      </c>
    </row>
    <row r="542" spans="1:35" x14ac:dyDescent="0.3">
      <c r="A542" s="1" t="s">
        <v>2043</v>
      </c>
      <c r="B542" s="2" t="str">
        <f>HYPERLINK("https://my.zakupki.prom.ua/remote/dispatcher/state_purchase_view/34688192")</f>
        <v>https://my.zakupki.prom.ua/remote/dispatcher/state_purchase_view/34688192</v>
      </c>
      <c r="C542" s="1" t="s">
        <v>3233</v>
      </c>
      <c r="D542" s="1" t="s">
        <v>443</v>
      </c>
      <c r="E542" s="4">
        <v>2</v>
      </c>
      <c r="F542" s="5">
        <v>45500</v>
      </c>
      <c r="G542" s="1" t="s">
        <v>4924</v>
      </c>
      <c r="H542" s="1" t="s">
        <v>630</v>
      </c>
      <c r="I542" s="1" t="s">
        <v>3198</v>
      </c>
      <c r="J542" s="5">
        <v>91000</v>
      </c>
      <c r="K542" s="1" t="s">
        <v>3394</v>
      </c>
      <c r="L542" s="5">
        <v>455</v>
      </c>
      <c r="M542" s="1" t="s">
        <v>2308</v>
      </c>
      <c r="N542" s="1" t="s">
        <v>3983</v>
      </c>
      <c r="O542" s="1" t="s">
        <v>2521</v>
      </c>
      <c r="P542" s="1" t="s">
        <v>3956</v>
      </c>
      <c r="Q542" s="1" t="s">
        <v>2528</v>
      </c>
      <c r="R542" s="1" t="s">
        <v>4341</v>
      </c>
      <c r="S542" s="1" t="s">
        <v>4937</v>
      </c>
      <c r="T542" s="6">
        <v>44593</v>
      </c>
      <c r="U542" s="6">
        <v>44599</v>
      </c>
      <c r="V542" s="7">
        <v>0.375</v>
      </c>
      <c r="W542" s="6">
        <v>44602</v>
      </c>
      <c r="X542" s="7">
        <v>0.375</v>
      </c>
      <c r="Y542" s="1" t="s">
        <v>4860</v>
      </c>
      <c r="Z542" s="5">
        <v>340</v>
      </c>
      <c r="AA542" s="1" t="s">
        <v>3403</v>
      </c>
      <c r="AB542" s="1"/>
      <c r="AC542" s="1"/>
      <c r="AD542" s="1"/>
      <c r="AE542" s="1" t="s">
        <v>3771</v>
      </c>
      <c r="AF542" s="1" t="s">
        <v>9</v>
      </c>
      <c r="AG542" s="4">
        <v>2</v>
      </c>
      <c r="AH542" s="1"/>
      <c r="AI542" s="6">
        <v>44712</v>
      </c>
    </row>
    <row r="543" spans="1:35" x14ac:dyDescent="0.3">
      <c r="A543" s="1" t="s">
        <v>2039</v>
      </c>
      <c r="B543" s="2" t="str">
        <f>HYPERLINK("https://my.zakupki.prom.ua/remote/dispatcher/state_purchase_view/34688187")</f>
        <v>https://my.zakupki.prom.ua/remote/dispatcher/state_purchase_view/34688187</v>
      </c>
      <c r="C543" s="1" t="s">
        <v>3571</v>
      </c>
      <c r="D543" s="1" t="s">
        <v>1173</v>
      </c>
      <c r="E543" s="4">
        <v>1</v>
      </c>
      <c r="F543" s="5">
        <v>177000</v>
      </c>
      <c r="G543" s="1" t="s">
        <v>4940</v>
      </c>
      <c r="H543" s="1" t="s">
        <v>68</v>
      </c>
      <c r="I543" s="1" t="s">
        <v>3131</v>
      </c>
      <c r="J543" s="5">
        <v>177000</v>
      </c>
      <c r="K543" s="1" t="s">
        <v>3394</v>
      </c>
      <c r="L543" s="5">
        <v>885</v>
      </c>
      <c r="M543" s="1" t="s">
        <v>2308</v>
      </c>
      <c r="N543" s="1" t="s">
        <v>3983</v>
      </c>
      <c r="O543" s="1" t="s">
        <v>2521</v>
      </c>
      <c r="P543" s="1" t="s">
        <v>2515</v>
      </c>
      <c r="Q543" s="1" t="s">
        <v>2796</v>
      </c>
      <c r="R543" s="1" t="s">
        <v>4440</v>
      </c>
      <c r="S543" s="1" t="s">
        <v>4971</v>
      </c>
      <c r="T543" s="6">
        <v>44593</v>
      </c>
      <c r="U543" s="6">
        <v>44593</v>
      </c>
      <c r="V543" s="7">
        <v>0.53010428940972221</v>
      </c>
      <c r="W543" s="6">
        <v>44609</v>
      </c>
      <c r="X543" s="7">
        <v>0</v>
      </c>
      <c r="Y543" s="8">
        <v>44609.492164351854</v>
      </c>
      <c r="Z543" s="5">
        <v>340</v>
      </c>
      <c r="AA543" s="1" t="s">
        <v>3403</v>
      </c>
      <c r="AB543" s="1"/>
      <c r="AC543" s="1"/>
      <c r="AD543" s="1"/>
      <c r="AE543" s="1" t="s">
        <v>3749</v>
      </c>
      <c r="AF543" s="1" t="s">
        <v>9</v>
      </c>
      <c r="AG543" s="4">
        <v>26</v>
      </c>
      <c r="AH543" s="1"/>
      <c r="AI543" s="6">
        <v>44916</v>
      </c>
    </row>
    <row r="544" spans="1:35" x14ac:dyDescent="0.3">
      <c r="A544" s="1" t="s">
        <v>1395</v>
      </c>
      <c r="B544" s="2" t="str">
        <f>HYPERLINK("https://my.zakupki.prom.ua/remote/dispatcher/state_purchase_view/34688184")</f>
        <v>https://my.zakupki.prom.ua/remote/dispatcher/state_purchase_view/34688184</v>
      </c>
      <c r="C544" s="1" t="s">
        <v>4944</v>
      </c>
      <c r="D544" s="1" t="s">
        <v>1190</v>
      </c>
      <c r="E544" s="4">
        <v>1</v>
      </c>
      <c r="F544" s="5">
        <v>146850</v>
      </c>
      <c r="G544" s="1" t="s">
        <v>4940</v>
      </c>
      <c r="H544" s="1" t="s">
        <v>856</v>
      </c>
      <c r="I544" s="1" t="s">
        <v>4812</v>
      </c>
      <c r="J544" s="5">
        <v>146850</v>
      </c>
      <c r="K544" s="1" t="s">
        <v>3394</v>
      </c>
      <c r="L544" s="5">
        <v>734.25</v>
      </c>
      <c r="M544" s="1" t="s">
        <v>2308</v>
      </c>
      <c r="N544" s="1" t="s">
        <v>3983</v>
      </c>
      <c r="O544" s="1" t="s">
        <v>2521</v>
      </c>
      <c r="P544" s="1" t="s">
        <v>3956</v>
      </c>
      <c r="Q544" s="1" t="s">
        <v>4805</v>
      </c>
      <c r="R544" s="1" t="s">
        <v>4528</v>
      </c>
      <c r="S544" s="1" t="s">
        <v>4937</v>
      </c>
      <c r="T544" s="6">
        <v>44593</v>
      </c>
      <c r="U544" s="6">
        <v>44597</v>
      </c>
      <c r="V544" s="7">
        <v>0.5340625</v>
      </c>
      <c r="W544" s="6">
        <v>44602</v>
      </c>
      <c r="X544" s="7">
        <v>0.5340625</v>
      </c>
      <c r="Y544" s="1" t="s">
        <v>4860</v>
      </c>
      <c r="Z544" s="5">
        <v>340</v>
      </c>
      <c r="AA544" s="1" t="s">
        <v>3403</v>
      </c>
      <c r="AB544" s="1"/>
      <c r="AC544" s="1"/>
      <c r="AD544" s="1"/>
      <c r="AE544" s="1" t="s">
        <v>3744</v>
      </c>
      <c r="AF544" s="1" t="s">
        <v>9</v>
      </c>
      <c r="AG544" s="1" t="s">
        <v>9</v>
      </c>
      <c r="AH544" s="1"/>
      <c r="AI544" s="6">
        <v>44926</v>
      </c>
    </row>
    <row r="545" spans="1:35" x14ac:dyDescent="0.3">
      <c r="A545" s="1" t="s">
        <v>2057</v>
      </c>
      <c r="B545" s="2" t="str">
        <f>HYPERLINK("https://my.zakupki.prom.ua/remote/dispatcher/state_purchase_view/34688169")</f>
        <v>https://my.zakupki.prom.ua/remote/dispatcher/state_purchase_view/34688169</v>
      </c>
      <c r="C545" s="1" t="s">
        <v>3032</v>
      </c>
      <c r="D545" s="1" t="s">
        <v>512</v>
      </c>
      <c r="E545" s="1" t="s">
        <v>4903</v>
      </c>
      <c r="F545" s="1" t="s">
        <v>4903</v>
      </c>
      <c r="G545" s="1" t="s">
        <v>4903</v>
      </c>
      <c r="H545" s="1" t="s">
        <v>199</v>
      </c>
      <c r="I545" s="1" t="s">
        <v>2858</v>
      </c>
      <c r="J545" s="5">
        <v>56241.55</v>
      </c>
      <c r="K545" s="1" t="s">
        <v>3394</v>
      </c>
      <c r="L545" s="5">
        <v>562.41999999999996</v>
      </c>
      <c r="M545" s="1" t="s">
        <v>2308</v>
      </c>
      <c r="N545" s="1" t="s">
        <v>3983</v>
      </c>
      <c r="O545" s="1" t="s">
        <v>2521</v>
      </c>
      <c r="P545" s="1" t="s">
        <v>3956</v>
      </c>
      <c r="Q545" s="1" t="s">
        <v>2761</v>
      </c>
      <c r="R545" s="1" t="s">
        <v>4591</v>
      </c>
      <c r="S545" s="1" t="s">
        <v>4937</v>
      </c>
      <c r="T545" s="6">
        <v>44593</v>
      </c>
      <c r="U545" s="6">
        <v>44600</v>
      </c>
      <c r="V545" s="7">
        <v>0.5</v>
      </c>
      <c r="W545" s="6">
        <v>44603</v>
      </c>
      <c r="X545" s="7">
        <v>0.99930555555555556</v>
      </c>
      <c r="Y545" s="1" t="s">
        <v>4860</v>
      </c>
      <c r="Z545" s="5">
        <v>340</v>
      </c>
      <c r="AA545" s="1" t="s">
        <v>3403</v>
      </c>
      <c r="AB545" s="1"/>
      <c r="AC545" s="1"/>
      <c r="AD545" s="1"/>
      <c r="AE545" s="1" t="s">
        <v>3788</v>
      </c>
      <c r="AF545" s="1" t="s">
        <v>9</v>
      </c>
      <c r="AG545" s="4">
        <v>16</v>
      </c>
      <c r="AH545" s="1"/>
      <c r="AI545" s="6">
        <v>44926</v>
      </c>
    </row>
    <row r="546" spans="1:35" x14ac:dyDescent="0.3">
      <c r="A546" s="1" t="s">
        <v>2056</v>
      </c>
      <c r="B546" s="2" t="str">
        <f>HYPERLINK("https://my.zakupki.prom.ua/remote/dispatcher/state_purchase_view/34688164")</f>
        <v>https://my.zakupki.prom.ua/remote/dispatcher/state_purchase_view/34688164</v>
      </c>
      <c r="C546" s="1" t="s">
        <v>2751</v>
      </c>
      <c r="D546" s="1" t="s">
        <v>383</v>
      </c>
      <c r="E546" s="1" t="s">
        <v>4903</v>
      </c>
      <c r="F546" s="1" t="s">
        <v>4903</v>
      </c>
      <c r="G546" s="1" t="s">
        <v>4903</v>
      </c>
      <c r="H546" s="1" t="s">
        <v>346</v>
      </c>
      <c r="I546" s="1" t="s">
        <v>2794</v>
      </c>
      <c r="J546" s="5">
        <v>170875</v>
      </c>
      <c r="K546" s="1" t="s">
        <v>3394</v>
      </c>
      <c r="L546" s="5">
        <v>854.38</v>
      </c>
      <c r="M546" s="1" t="s">
        <v>2308</v>
      </c>
      <c r="N546" s="1" t="s">
        <v>3983</v>
      </c>
      <c r="O546" s="1" t="s">
        <v>2521</v>
      </c>
      <c r="P546" s="1" t="s">
        <v>3956</v>
      </c>
      <c r="Q546" s="1" t="s">
        <v>3264</v>
      </c>
      <c r="R546" s="1" t="s">
        <v>4090</v>
      </c>
      <c r="S546" s="1" t="s">
        <v>4937</v>
      </c>
      <c r="T546" s="6">
        <v>44593</v>
      </c>
      <c r="U546" s="6">
        <v>44599</v>
      </c>
      <c r="V546" s="7">
        <v>0.53194444444444444</v>
      </c>
      <c r="W546" s="6">
        <v>44602</v>
      </c>
      <c r="X546" s="7">
        <v>0.53194444444444444</v>
      </c>
      <c r="Y546" s="1" t="s">
        <v>4860</v>
      </c>
      <c r="Z546" s="5">
        <v>340</v>
      </c>
      <c r="AA546" s="1" t="s">
        <v>3403</v>
      </c>
      <c r="AB546" s="1"/>
      <c r="AC546" s="1"/>
      <c r="AD546" s="1"/>
      <c r="AE546" s="1" t="s">
        <v>3765</v>
      </c>
      <c r="AF546" s="1" t="s">
        <v>9</v>
      </c>
      <c r="AG546" s="4">
        <v>1</v>
      </c>
      <c r="AH546" s="6">
        <v>44599</v>
      </c>
      <c r="AI546" s="6">
        <v>44926</v>
      </c>
    </row>
    <row r="547" spans="1:35" x14ac:dyDescent="0.3">
      <c r="A547" s="1" t="s">
        <v>2055</v>
      </c>
      <c r="B547" s="2" t="str">
        <f>HYPERLINK("https://my.zakupki.prom.ua/remote/dispatcher/state_purchase_view/34688163")</f>
        <v>https://my.zakupki.prom.ua/remote/dispatcher/state_purchase_view/34688163</v>
      </c>
      <c r="C547" s="1" t="s">
        <v>2631</v>
      </c>
      <c r="D547" s="1" t="s">
        <v>368</v>
      </c>
      <c r="E547" s="4">
        <v>5770</v>
      </c>
      <c r="F547" s="5">
        <v>31.02</v>
      </c>
      <c r="G547" s="1" t="s">
        <v>4908</v>
      </c>
      <c r="H547" s="1" t="s">
        <v>1026</v>
      </c>
      <c r="I547" s="1" t="s">
        <v>2923</v>
      </c>
      <c r="J547" s="5">
        <v>179000</v>
      </c>
      <c r="K547" s="1" t="s">
        <v>3394</v>
      </c>
      <c r="L547" s="5">
        <v>3580</v>
      </c>
      <c r="M547" s="1" t="s">
        <v>2308</v>
      </c>
      <c r="N547" s="1" t="s">
        <v>3983</v>
      </c>
      <c r="O547" s="1" t="s">
        <v>2521</v>
      </c>
      <c r="P547" s="1" t="s">
        <v>2762</v>
      </c>
      <c r="Q547" s="1" t="s">
        <v>3426</v>
      </c>
      <c r="R547" s="1" t="s">
        <v>4111</v>
      </c>
      <c r="S547" s="1" t="s">
        <v>4937</v>
      </c>
      <c r="T547" s="6">
        <v>44593</v>
      </c>
      <c r="U547" s="6">
        <v>44599</v>
      </c>
      <c r="V547" s="7">
        <v>0.53402777777777777</v>
      </c>
      <c r="W547" s="6">
        <v>44603</v>
      </c>
      <c r="X547" s="7">
        <v>0.53402777777777777</v>
      </c>
      <c r="Y547" s="1" t="s">
        <v>4860</v>
      </c>
      <c r="Z547" s="5">
        <v>340</v>
      </c>
      <c r="AA547" s="1" t="s">
        <v>3403</v>
      </c>
      <c r="AB547" s="1"/>
      <c r="AC547" s="1"/>
      <c r="AD547" s="1"/>
      <c r="AE547" s="1" t="s">
        <v>3789</v>
      </c>
      <c r="AF547" s="1" t="s">
        <v>9</v>
      </c>
      <c r="AG547" s="1" t="s">
        <v>9</v>
      </c>
      <c r="AH547" s="6">
        <v>44593</v>
      </c>
      <c r="AI547" s="6">
        <v>44620</v>
      </c>
    </row>
    <row r="548" spans="1:35" x14ac:dyDescent="0.3">
      <c r="A548" s="1" t="s">
        <v>2054</v>
      </c>
      <c r="B548" s="2" t="str">
        <f>HYPERLINK("https://my.zakupki.prom.ua/remote/dispatcher/state_purchase_view/34687939")</f>
        <v>https://my.zakupki.prom.ua/remote/dispatcher/state_purchase_view/34687939</v>
      </c>
      <c r="C548" s="1" t="s">
        <v>3630</v>
      </c>
      <c r="D548" s="1" t="s">
        <v>1227</v>
      </c>
      <c r="E548" s="4">
        <v>1</v>
      </c>
      <c r="F548" s="5">
        <v>85000</v>
      </c>
      <c r="G548" s="1" t="s">
        <v>4940</v>
      </c>
      <c r="H548" s="1" t="s">
        <v>152</v>
      </c>
      <c r="I548" s="1" t="s">
        <v>3358</v>
      </c>
      <c r="J548" s="5">
        <v>85000</v>
      </c>
      <c r="K548" s="1" t="s">
        <v>3394</v>
      </c>
      <c r="L548" s="5">
        <v>425</v>
      </c>
      <c r="M548" s="1" t="s">
        <v>2308</v>
      </c>
      <c r="N548" s="1" t="s">
        <v>3403</v>
      </c>
      <c r="O548" s="1" t="s">
        <v>2521</v>
      </c>
      <c r="P548" s="1" t="s">
        <v>3956</v>
      </c>
      <c r="Q548" s="1" t="s">
        <v>4911</v>
      </c>
      <c r="R548" s="1" t="s">
        <v>4239</v>
      </c>
      <c r="S548" s="1" t="s">
        <v>4937</v>
      </c>
      <c r="T548" s="6">
        <v>44593</v>
      </c>
      <c r="U548" s="6">
        <v>44599</v>
      </c>
      <c r="V548" s="7">
        <v>0</v>
      </c>
      <c r="W548" s="6">
        <v>44602</v>
      </c>
      <c r="X548" s="7">
        <v>0</v>
      </c>
      <c r="Y548" s="1" t="s">
        <v>4860</v>
      </c>
      <c r="Z548" s="5">
        <v>340</v>
      </c>
      <c r="AA548" s="1" t="s">
        <v>3403</v>
      </c>
      <c r="AB548" s="1"/>
      <c r="AC548" s="1"/>
      <c r="AD548" s="1"/>
      <c r="AE548" s="1" t="s">
        <v>3756</v>
      </c>
      <c r="AF548" s="1" t="s">
        <v>9</v>
      </c>
      <c r="AG548" s="4">
        <v>3</v>
      </c>
      <c r="AH548" s="1"/>
      <c r="AI548" s="6">
        <v>44926</v>
      </c>
    </row>
    <row r="549" spans="1:35" x14ac:dyDescent="0.3">
      <c r="A549" s="1" t="s">
        <v>2051</v>
      </c>
      <c r="B549" s="2" t="str">
        <f>HYPERLINK("https://my.zakupki.prom.ua/remote/dispatcher/state_purchase_view/34687922")</f>
        <v>https://my.zakupki.prom.ua/remote/dispatcher/state_purchase_view/34687922</v>
      </c>
      <c r="C549" s="1" t="s">
        <v>3938</v>
      </c>
      <c r="D549" s="1" t="s">
        <v>459</v>
      </c>
      <c r="E549" s="4">
        <v>5512</v>
      </c>
      <c r="F549" s="5">
        <v>27</v>
      </c>
      <c r="G549" s="1" t="s">
        <v>4901</v>
      </c>
      <c r="H549" s="1" t="s">
        <v>191</v>
      </c>
      <c r="I549" s="1" t="s">
        <v>3208</v>
      </c>
      <c r="J549" s="5">
        <v>148824</v>
      </c>
      <c r="K549" s="1" t="s">
        <v>3394</v>
      </c>
      <c r="L549" s="5">
        <v>744.12</v>
      </c>
      <c r="M549" s="1" t="s">
        <v>2308</v>
      </c>
      <c r="N549" s="1" t="s">
        <v>3983</v>
      </c>
      <c r="O549" s="1" t="s">
        <v>2521</v>
      </c>
      <c r="P549" s="1" t="s">
        <v>3956</v>
      </c>
      <c r="Q549" s="1" t="s">
        <v>4798</v>
      </c>
      <c r="R549" s="1" t="s">
        <v>4678</v>
      </c>
      <c r="S549" s="1" t="s">
        <v>4937</v>
      </c>
      <c r="T549" s="6">
        <v>44593</v>
      </c>
      <c r="U549" s="6">
        <v>44600</v>
      </c>
      <c r="V549" s="7">
        <v>0.53333333333333333</v>
      </c>
      <c r="W549" s="6">
        <v>44603</v>
      </c>
      <c r="X549" s="7">
        <v>0.53333333333333333</v>
      </c>
      <c r="Y549" s="1" t="s">
        <v>4860</v>
      </c>
      <c r="Z549" s="5">
        <v>340</v>
      </c>
      <c r="AA549" s="1" t="s">
        <v>3403</v>
      </c>
      <c r="AB549" s="1"/>
      <c r="AC549" s="1"/>
      <c r="AD549" s="1"/>
      <c r="AE549" s="1" t="s">
        <v>3767</v>
      </c>
      <c r="AF549" s="1" t="s">
        <v>9</v>
      </c>
      <c r="AG549" s="4">
        <v>31</v>
      </c>
      <c r="AH549" s="1"/>
      <c r="AI549" s="6">
        <v>44926</v>
      </c>
    </row>
    <row r="550" spans="1:35" x14ac:dyDescent="0.3">
      <c r="A550" s="1" t="s">
        <v>2050</v>
      </c>
      <c r="B550" s="2" t="str">
        <f>HYPERLINK("https://my.zakupki.prom.ua/remote/dispatcher/state_purchase_lot_view/740690")</f>
        <v>https://my.zakupki.prom.ua/remote/dispatcher/state_purchase_lot_view/740690</v>
      </c>
      <c r="C550" s="1" t="s">
        <v>3618</v>
      </c>
      <c r="D550" s="1" t="s">
        <v>1236</v>
      </c>
      <c r="E550" s="4">
        <v>1</v>
      </c>
      <c r="F550" s="5">
        <v>54280</v>
      </c>
      <c r="G550" s="1" t="s">
        <v>4906</v>
      </c>
      <c r="H550" s="1" t="s">
        <v>30</v>
      </c>
      <c r="I550" s="1" t="s">
        <v>2766</v>
      </c>
      <c r="J550" s="5">
        <v>125120</v>
      </c>
      <c r="K550" s="5">
        <v>54280</v>
      </c>
      <c r="L550" s="5">
        <v>271.39999999999998</v>
      </c>
      <c r="M550" s="1" t="s">
        <v>2308</v>
      </c>
      <c r="N550" s="1" t="s">
        <v>3983</v>
      </c>
      <c r="O550" s="1" t="s">
        <v>2521</v>
      </c>
      <c r="P550" s="1" t="s">
        <v>2762</v>
      </c>
      <c r="Q550" s="1" t="s">
        <v>3264</v>
      </c>
      <c r="R550" s="1" t="s">
        <v>4480</v>
      </c>
      <c r="S550" s="1" t="s">
        <v>4937</v>
      </c>
      <c r="T550" s="6">
        <v>44593</v>
      </c>
      <c r="U550" s="6">
        <v>44599</v>
      </c>
      <c r="V550" s="7">
        <v>0.58333333333333337</v>
      </c>
      <c r="W550" s="6">
        <v>44602</v>
      </c>
      <c r="X550" s="7">
        <v>0.54166666666666663</v>
      </c>
      <c r="Y550" s="1" t="s">
        <v>4860</v>
      </c>
      <c r="Z550" s="5">
        <v>340</v>
      </c>
      <c r="AA550" s="1" t="s">
        <v>3403</v>
      </c>
      <c r="AB550" s="1"/>
      <c r="AC550" s="1"/>
      <c r="AD550" s="1"/>
      <c r="AE550" s="1" t="s">
        <v>3736</v>
      </c>
      <c r="AF550" s="1" t="s">
        <v>9</v>
      </c>
      <c r="AG550" s="1" t="s">
        <v>9</v>
      </c>
      <c r="AH550" s="6">
        <v>44606</v>
      </c>
      <c r="AI550" s="6">
        <v>44665</v>
      </c>
    </row>
    <row r="551" spans="1:35" x14ac:dyDescent="0.3">
      <c r="A551" s="1" t="s">
        <v>2050</v>
      </c>
      <c r="B551" s="2" t="str">
        <f>HYPERLINK("https://my.zakupki.prom.ua/remote/dispatcher/state_purchase_lot_view/740691")</f>
        <v>https://my.zakupki.prom.ua/remote/dispatcher/state_purchase_lot_view/740691</v>
      </c>
      <c r="C551" s="1" t="s">
        <v>3619</v>
      </c>
      <c r="D551" s="1" t="s">
        <v>1236</v>
      </c>
      <c r="E551" s="4">
        <v>1</v>
      </c>
      <c r="F551" s="5">
        <v>70840</v>
      </c>
      <c r="G551" s="1" t="s">
        <v>4906</v>
      </c>
      <c r="H551" s="1" t="s">
        <v>30</v>
      </c>
      <c r="I551" s="1" t="s">
        <v>2766</v>
      </c>
      <c r="J551" s="5">
        <v>125120</v>
      </c>
      <c r="K551" s="5">
        <v>70840</v>
      </c>
      <c r="L551" s="5">
        <v>354.2</v>
      </c>
      <c r="M551" s="1" t="s">
        <v>2308</v>
      </c>
      <c r="N551" s="1" t="s">
        <v>3983</v>
      </c>
      <c r="O551" s="1" t="s">
        <v>2521</v>
      </c>
      <c r="P551" s="1" t="s">
        <v>2762</v>
      </c>
      <c r="Q551" s="1" t="s">
        <v>3264</v>
      </c>
      <c r="R551" s="1" t="s">
        <v>4480</v>
      </c>
      <c r="S551" s="1" t="s">
        <v>4937</v>
      </c>
      <c r="T551" s="6">
        <v>44593</v>
      </c>
      <c r="U551" s="6">
        <v>44599</v>
      </c>
      <c r="V551" s="7">
        <v>0.58333333333333337</v>
      </c>
      <c r="W551" s="6">
        <v>44602</v>
      </c>
      <c r="X551" s="7">
        <v>0.54166666666666663</v>
      </c>
      <c r="Y551" s="1" t="s">
        <v>4860</v>
      </c>
      <c r="Z551" s="5">
        <v>340</v>
      </c>
      <c r="AA551" s="1" t="s">
        <v>3403</v>
      </c>
      <c r="AB551" s="1"/>
      <c r="AC551" s="1"/>
      <c r="AD551" s="1"/>
      <c r="AE551" s="1" t="s">
        <v>3736</v>
      </c>
      <c r="AF551" s="1" t="s">
        <v>9</v>
      </c>
      <c r="AG551" s="1" t="s">
        <v>9</v>
      </c>
      <c r="AH551" s="6">
        <v>44606</v>
      </c>
      <c r="AI551" s="6">
        <v>44695</v>
      </c>
    </row>
    <row r="552" spans="1:35" x14ac:dyDescent="0.3">
      <c r="A552" s="1" t="s">
        <v>2049</v>
      </c>
      <c r="B552" s="2" t="str">
        <f>HYPERLINK("https://my.zakupki.prom.ua/remote/dispatcher/state_purchase_view/34686346")</f>
        <v>https://my.zakupki.prom.ua/remote/dispatcher/state_purchase_view/34686346</v>
      </c>
      <c r="C552" s="1" t="s">
        <v>5</v>
      </c>
      <c r="D552" s="1" t="s">
        <v>797</v>
      </c>
      <c r="E552" s="1" t="s">
        <v>4903</v>
      </c>
      <c r="F552" s="1" t="s">
        <v>4903</v>
      </c>
      <c r="G552" s="1" t="s">
        <v>4903</v>
      </c>
      <c r="H552" s="1" t="s">
        <v>994</v>
      </c>
      <c r="I552" s="1" t="s">
        <v>3184</v>
      </c>
      <c r="J552" s="5">
        <v>10185</v>
      </c>
      <c r="K552" s="1" t="s">
        <v>3394</v>
      </c>
      <c r="L552" s="5">
        <v>50.93</v>
      </c>
      <c r="M552" s="1" t="s">
        <v>2308</v>
      </c>
      <c r="N552" s="1" t="s">
        <v>3983</v>
      </c>
      <c r="O552" s="1" t="s">
        <v>2521</v>
      </c>
      <c r="P552" s="1" t="s">
        <v>3956</v>
      </c>
      <c r="Q552" s="1" t="s">
        <v>2796</v>
      </c>
      <c r="R552" s="1" t="s">
        <v>4168</v>
      </c>
      <c r="S552" s="1" t="s">
        <v>4937</v>
      </c>
      <c r="T552" s="6">
        <v>44593</v>
      </c>
      <c r="U552" s="6">
        <v>44599</v>
      </c>
      <c r="V552" s="7">
        <v>0</v>
      </c>
      <c r="W552" s="6">
        <v>44602</v>
      </c>
      <c r="X552" s="7">
        <v>0</v>
      </c>
      <c r="Y552" s="1" t="s">
        <v>4860</v>
      </c>
      <c r="Z552" s="5">
        <v>17</v>
      </c>
      <c r="AA552" s="1" t="s">
        <v>3403</v>
      </c>
      <c r="AB552" s="1"/>
      <c r="AC552" s="1"/>
      <c r="AD552" s="1"/>
      <c r="AE552" s="1" t="s">
        <v>3771</v>
      </c>
      <c r="AF552" s="1" t="s">
        <v>9</v>
      </c>
      <c r="AG552" s="4">
        <v>2</v>
      </c>
      <c r="AH552" s="1"/>
      <c r="AI552" s="6">
        <v>44609</v>
      </c>
    </row>
    <row r="553" spans="1:35" x14ac:dyDescent="0.3">
      <c r="A553" s="1" t="s">
        <v>2048</v>
      </c>
      <c r="B553" s="2" t="str">
        <f>HYPERLINK("https://my.zakupki.prom.ua/remote/dispatcher/state_purchase_view/34687877")</f>
        <v>https://my.zakupki.prom.ua/remote/dispatcher/state_purchase_view/34687877</v>
      </c>
      <c r="C553" s="1" t="s">
        <v>3387</v>
      </c>
      <c r="D553" s="1" t="s">
        <v>381</v>
      </c>
      <c r="E553" s="4">
        <v>7210</v>
      </c>
      <c r="F553" s="5">
        <v>19</v>
      </c>
      <c r="G553" s="1" t="s">
        <v>4908</v>
      </c>
      <c r="H553" s="1" t="s">
        <v>881</v>
      </c>
      <c r="I553" s="1" t="s">
        <v>2904</v>
      </c>
      <c r="J553" s="5">
        <v>136990</v>
      </c>
      <c r="K553" s="1" t="s">
        <v>3394</v>
      </c>
      <c r="L553" s="5">
        <v>684.95</v>
      </c>
      <c r="M553" s="1" t="s">
        <v>2308</v>
      </c>
      <c r="N553" s="1" t="s">
        <v>3983</v>
      </c>
      <c r="O553" s="1" t="s">
        <v>2521</v>
      </c>
      <c r="P553" s="1" t="s">
        <v>3956</v>
      </c>
      <c r="Q553" s="1" t="s">
        <v>3035</v>
      </c>
      <c r="R553" s="1" t="s">
        <v>4223</v>
      </c>
      <c r="S553" s="1" t="s">
        <v>4937</v>
      </c>
      <c r="T553" s="6">
        <v>44593</v>
      </c>
      <c r="U553" s="6">
        <v>44599</v>
      </c>
      <c r="V553" s="7">
        <v>4.2361111111111113E-2</v>
      </c>
      <c r="W553" s="6">
        <v>44602</v>
      </c>
      <c r="X553" s="7">
        <v>4.2361111111111113E-2</v>
      </c>
      <c r="Y553" s="1" t="s">
        <v>4860</v>
      </c>
      <c r="Z553" s="5">
        <v>340</v>
      </c>
      <c r="AA553" s="1" t="s">
        <v>3403</v>
      </c>
      <c r="AB553" s="1"/>
      <c r="AC553" s="1"/>
      <c r="AD553" s="1"/>
      <c r="AE553" s="1" t="s">
        <v>3712</v>
      </c>
      <c r="AF553" s="1" t="s">
        <v>9</v>
      </c>
      <c r="AG553" s="1" t="s">
        <v>9</v>
      </c>
      <c r="AH553" s="1"/>
      <c r="AI553" s="6">
        <v>44926</v>
      </c>
    </row>
    <row r="554" spans="1:35" x14ac:dyDescent="0.3">
      <c r="A554" s="1" t="s">
        <v>2047</v>
      </c>
      <c r="B554" s="2" t="str">
        <f>HYPERLINK("https://my.zakupki.prom.ua/remote/dispatcher/state_purchase_view/34687843")</f>
        <v>https://my.zakupki.prom.ua/remote/dispatcher/state_purchase_view/34687843</v>
      </c>
      <c r="C554" s="1" t="s">
        <v>3586</v>
      </c>
      <c r="D554" s="1" t="s">
        <v>1164</v>
      </c>
      <c r="E554" s="4">
        <v>1</v>
      </c>
      <c r="F554" s="5">
        <v>199999</v>
      </c>
      <c r="G554" s="1" t="s">
        <v>4940</v>
      </c>
      <c r="H554" s="1" t="s">
        <v>309</v>
      </c>
      <c r="I554" s="1" t="s">
        <v>2453</v>
      </c>
      <c r="J554" s="5">
        <v>199999</v>
      </c>
      <c r="K554" s="1" t="s">
        <v>3394</v>
      </c>
      <c r="L554" s="5">
        <v>1000</v>
      </c>
      <c r="M554" s="1" t="s">
        <v>2308</v>
      </c>
      <c r="N554" s="1" t="s">
        <v>3983</v>
      </c>
      <c r="O554" s="1" t="s">
        <v>2521</v>
      </c>
      <c r="P554" s="1" t="s">
        <v>3956</v>
      </c>
      <c r="Q554" s="1" t="s">
        <v>4831</v>
      </c>
      <c r="R554" s="1" t="s">
        <v>4081</v>
      </c>
      <c r="S554" s="1" t="s">
        <v>4937</v>
      </c>
      <c r="T554" s="6">
        <v>44593</v>
      </c>
      <c r="U554" s="6">
        <v>44599</v>
      </c>
      <c r="V554" s="7">
        <v>0.5</v>
      </c>
      <c r="W554" s="6">
        <v>44602</v>
      </c>
      <c r="X554" s="7">
        <v>0</v>
      </c>
      <c r="Y554" s="1" t="s">
        <v>4860</v>
      </c>
      <c r="Z554" s="5">
        <v>340</v>
      </c>
      <c r="AA554" s="1" t="s">
        <v>3403</v>
      </c>
      <c r="AB554" s="1"/>
      <c r="AC554" s="1"/>
      <c r="AD554" s="1"/>
      <c r="AE554" s="1" t="s">
        <v>3736</v>
      </c>
      <c r="AF554" s="1" t="s">
        <v>9</v>
      </c>
      <c r="AG554" s="1" t="s">
        <v>9</v>
      </c>
      <c r="AH554" s="1"/>
      <c r="AI554" s="6">
        <v>44926</v>
      </c>
    </row>
    <row r="555" spans="1:35" x14ac:dyDescent="0.3">
      <c r="A555" s="1" t="s">
        <v>2046</v>
      </c>
      <c r="B555" s="2" t="str">
        <f>HYPERLINK("https://my.zakupki.prom.ua/remote/dispatcher/state_purchase_lot_view/740706")</f>
        <v>https://my.zakupki.prom.ua/remote/dispatcher/state_purchase_lot_view/740706</v>
      </c>
      <c r="C555" s="1" t="s">
        <v>1281</v>
      </c>
      <c r="D555" s="1" t="s">
        <v>1282</v>
      </c>
      <c r="E555" s="4">
        <v>964</v>
      </c>
      <c r="F555" s="5">
        <v>130.74</v>
      </c>
      <c r="G555" s="1" t="s">
        <v>4921</v>
      </c>
      <c r="H555" s="1" t="s">
        <v>974</v>
      </c>
      <c r="I555" s="1" t="s">
        <v>2544</v>
      </c>
      <c r="J555" s="5">
        <v>197029.47</v>
      </c>
      <c r="K555" s="5">
        <v>126037.92</v>
      </c>
      <c r="L555" s="5">
        <v>1260.3800000000001</v>
      </c>
      <c r="M555" s="1" t="s">
        <v>2308</v>
      </c>
      <c r="N555" s="1" t="s">
        <v>3983</v>
      </c>
      <c r="O555" s="1" t="s">
        <v>2521</v>
      </c>
      <c r="P555" s="1" t="s">
        <v>3956</v>
      </c>
      <c r="Q555" s="1" t="s">
        <v>3238</v>
      </c>
      <c r="R555" s="1" t="s">
        <v>4600</v>
      </c>
      <c r="S555" s="1" t="s">
        <v>4937</v>
      </c>
      <c r="T555" s="6">
        <v>44593</v>
      </c>
      <c r="U555" s="6">
        <v>44599</v>
      </c>
      <c r="V555" s="7">
        <v>0.58333333333333337</v>
      </c>
      <c r="W555" s="6">
        <v>44602</v>
      </c>
      <c r="X555" s="7">
        <v>0.33333333333333331</v>
      </c>
      <c r="Y555" s="1" t="s">
        <v>4860</v>
      </c>
      <c r="Z555" s="5">
        <v>340</v>
      </c>
      <c r="AA555" s="1" t="s">
        <v>3403</v>
      </c>
      <c r="AB555" s="1"/>
      <c r="AC555" s="1"/>
      <c r="AD555" s="1"/>
      <c r="AE555" s="1" t="s">
        <v>3727</v>
      </c>
      <c r="AF555" s="1" t="s">
        <v>9</v>
      </c>
      <c r="AG555" s="4">
        <v>10</v>
      </c>
      <c r="AH555" s="1"/>
      <c r="AI555" s="6">
        <v>44926</v>
      </c>
    </row>
    <row r="556" spans="1:35" x14ac:dyDescent="0.3">
      <c r="A556" s="1" t="s">
        <v>2046</v>
      </c>
      <c r="B556" s="2" t="str">
        <f>HYPERLINK("https://my.zakupki.prom.ua/remote/dispatcher/state_purchase_lot_view/740707")</f>
        <v>https://my.zakupki.prom.ua/remote/dispatcher/state_purchase_lot_view/740707</v>
      </c>
      <c r="C556" s="1" t="s">
        <v>1269</v>
      </c>
      <c r="D556" s="1" t="s">
        <v>1282</v>
      </c>
      <c r="E556" s="4">
        <v>27</v>
      </c>
      <c r="F556" s="5">
        <v>219.83</v>
      </c>
      <c r="G556" s="1" t="s">
        <v>4921</v>
      </c>
      <c r="H556" s="1" t="s">
        <v>974</v>
      </c>
      <c r="I556" s="1" t="s">
        <v>2544</v>
      </c>
      <c r="J556" s="5">
        <v>197029.47</v>
      </c>
      <c r="K556" s="5">
        <v>5935.32</v>
      </c>
      <c r="L556" s="5">
        <v>59.35</v>
      </c>
      <c r="M556" s="1" t="s">
        <v>2308</v>
      </c>
      <c r="N556" s="1" t="s">
        <v>3983</v>
      </c>
      <c r="O556" s="1" t="s">
        <v>2521</v>
      </c>
      <c r="P556" s="1" t="s">
        <v>3956</v>
      </c>
      <c r="Q556" s="1" t="s">
        <v>3238</v>
      </c>
      <c r="R556" s="1" t="s">
        <v>4605</v>
      </c>
      <c r="S556" s="1" t="s">
        <v>4937</v>
      </c>
      <c r="T556" s="6">
        <v>44593</v>
      </c>
      <c r="U556" s="6">
        <v>44599</v>
      </c>
      <c r="V556" s="7">
        <v>0.58333333333333337</v>
      </c>
      <c r="W556" s="6">
        <v>44602</v>
      </c>
      <c r="X556" s="7">
        <v>0.33333333333333331</v>
      </c>
      <c r="Y556" s="1" t="s">
        <v>4860</v>
      </c>
      <c r="Z556" s="5">
        <v>17</v>
      </c>
      <c r="AA556" s="1" t="s">
        <v>3403</v>
      </c>
      <c r="AB556" s="1"/>
      <c r="AC556" s="1"/>
      <c r="AD556" s="1"/>
      <c r="AE556" s="1" t="s">
        <v>3727</v>
      </c>
      <c r="AF556" s="1" t="s">
        <v>9</v>
      </c>
      <c r="AG556" s="4">
        <v>10</v>
      </c>
      <c r="AH556" s="1"/>
      <c r="AI556" s="6">
        <v>44926</v>
      </c>
    </row>
    <row r="557" spans="1:35" x14ac:dyDescent="0.3">
      <c r="A557" s="1" t="s">
        <v>2046</v>
      </c>
      <c r="B557" s="2" t="str">
        <f>HYPERLINK("https://my.zakupki.prom.ua/remote/dispatcher/state_purchase_lot_view/740708")</f>
        <v>https://my.zakupki.prom.ua/remote/dispatcher/state_purchase_lot_view/740708</v>
      </c>
      <c r="C557" s="1" t="s">
        <v>1270</v>
      </c>
      <c r="D557" s="1" t="s">
        <v>1282</v>
      </c>
      <c r="E557" s="4">
        <v>26</v>
      </c>
      <c r="F557" s="5">
        <v>134.43</v>
      </c>
      <c r="G557" s="1" t="s">
        <v>4921</v>
      </c>
      <c r="H557" s="1" t="s">
        <v>974</v>
      </c>
      <c r="I557" s="1" t="s">
        <v>2544</v>
      </c>
      <c r="J557" s="5">
        <v>197029.47</v>
      </c>
      <c r="K557" s="5">
        <v>3495.1</v>
      </c>
      <c r="L557" s="5">
        <v>34.950000000000003</v>
      </c>
      <c r="M557" s="1" t="s">
        <v>2308</v>
      </c>
      <c r="N557" s="1" t="s">
        <v>3983</v>
      </c>
      <c r="O557" s="1" t="s">
        <v>2521</v>
      </c>
      <c r="P557" s="1" t="s">
        <v>3956</v>
      </c>
      <c r="Q557" s="1" t="s">
        <v>3238</v>
      </c>
      <c r="R557" s="1" t="s">
        <v>4606</v>
      </c>
      <c r="S557" s="1" t="s">
        <v>4937</v>
      </c>
      <c r="T557" s="6">
        <v>44593</v>
      </c>
      <c r="U557" s="6">
        <v>44599</v>
      </c>
      <c r="V557" s="7">
        <v>0.58333333333333337</v>
      </c>
      <c r="W557" s="6">
        <v>44602</v>
      </c>
      <c r="X557" s="7">
        <v>0.33333333333333331</v>
      </c>
      <c r="Y557" s="1" t="s">
        <v>4860</v>
      </c>
      <c r="Z557" s="5">
        <v>17</v>
      </c>
      <c r="AA557" s="1" t="s">
        <v>3403</v>
      </c>
      <c r="AB557" s="1"/>
      <c r="AC557" s="1"/>
      <c r="AD557" s="1"/>
      <c r="AE557" s="1" t="s">
        <v>3727</v>
      </c>
      <c r="AF557" s="1" t="s">
        <v>9</v>
      </c>
      <c r="AG557" s="4">
        <v>10</v>
      </c>
      <c r="AH557" s="1"/>
      <c r="AI557" s="6">
        <v>44926</v>
      </c>
    </row>
    <row r="558" spans="1:35" x14ac:dyDescent="0.3">
      <c r="A558" s="1" t="s">
        <v>2046</v>
      </c>
      <c r="B558" s="2" t="str">
        <f>HYPERLINK("https://my.zakupki.prom.ua/remote/dispatcher/state_purchase_lot_view/740709")</f>
        <v>https://my.zakupki.prom.ua/remote/dispatcher/state_purchase_lot_view/740709</v>
      </c>
      <c r="C558" s="1" t="s">
        <v>1271</v>
      </c>
      <c r="D558" s="1" t="s">
        <v>1282</v>
      </c>
      <c r="E558" s="4">
        <v>12</v>
      </c>
      <c r="F558" s="5">
        <v>165.2</v>
      </c>
      <c r="G558" s="1" t="s">
        <v>4921</v>
      </c>
      <c r="H558" s="1" t="s">
        <v>974</v>
      </c>
      <c r="I558" s="1" t="s">
        <v>2544</v>
      </c>
      <c r="J558" s="5">
        <v>197029.47</v>
      </c>
      <c r="K558" s="5">
        <v>1982.4</v>
      </c>
      <c r="L558" s="5">
        <v>19.82</v>
      </c>
      <c r="M558" s="1" t="s">
        <v>2308</v>
      </c>
      <c r="N558" s="1" t="s">
        <v>3983</v>
      </c>
      <c r="O558" s="1" t="s">
        <v>2521</v>
      </c>
      <c r="P558" s="1" t="s">
        <v>3956</v>
      </c>
      <c r="Q558" s="1" t="s">
        <v>3238</v>
      </c>
      <c r="R558" s="1" t="s">
        <v>4607</v>
      </c>
      <c r="S558" s="1" t="s">
        <v>4937</v>
      </c>
      <c r="T558" s="6">
        <v>44593</v>
      </c>
      <c r="U558" s="6">
        <v>44599</v>
      </c>
      <c r="V558" s="7">
        <v>0.58333333333333337</v>
      </c>
      <c r="W558" s="6">
        <v>44602</v>
      </c>
      <c r="X558" s="7">
        <v>0.33333333333333331</v>
      </c>
      <c r="Y558" s="1" t="s">
        <v>4860</v>
      </c>
      <c r="Z558" s="5">
        <v>17</v>
      </c>
      <c r="AA558" s="1" t="s">
        <v>3403</v>
      </c>
      <c r="AB558" s="1"/>
      <c r="AC558" s="1"/>
      <c r="AD558" s="1"/>
      <c r="AE558" s="1" t="s">
        <v>3727</v>
      </c>
      <c r="AF558" s="1" t="s">
        <v>9</v>
      </c>
      <c r="AG558" s="4">
        <v>10</v>
      </c>
      <c r="AH558" s="1"/>
      <c r="AI558" s="6">
        <v>44926</v>
      </c>
    </row>
    <row r="559" spans="1:35" x14ac:dyDescent="0.3">
      <c r="A559" s="1" t="s">
        <v>2046</v>
      </c>
      <c r="B559" s="2" t="str">
        <f>HYPERLINK("https://my.zakupki.prom.ua/remote/dispatcher/state_purchase_lot_view/740710")</f>
        <v>https://my.zakupki.prom.ua/remote/dispatcher/state_purchase_lot_view/740710</v>
      </c>
      <c r="C559" s="1" t="s">
        <v>1279</v>
      </c>
      <c r="D559" s="1" t="s">
        <v>1282</v>
      </c>
      <c r="E559" s="4">
        <v>42</v>
      </c>
      <c r="F559" s="5">
        <v>46.34</v>
      </c>
      <c r="G559" s="1" t="s">
        <v>4921</v>
      </c>
      <c r="H559" s="1" t="s">
        <v>974</v>
      </c>
      <c r="I559" s="1" t="s">
        <v>2544</v>
      </c>
      <c r="J559" s="5">
        <v>197029.47</v>
      </c>
      <c r="K559" s="5">
        <v>1946.28</v>
      </c>
      <c r="L559" s="5">
        <v>19.46</v>
      </c>
      <c r="M559" s="1" t="s">
        <v>2308</v>
      </c>
      <c r="N559" s="1" t="s">
        <v>3983</v>
      </c>
      <c r="O559" s="1" t="s">
        <v>2521</v>
      </c>
      <c r="P559" s="1" t="s">
        <v>3956</v>
      </c>
      <c r="Q559" s="1" t="s">
        <v>3238</v>
      </c>
      <c r="R559" s="1" t="s">
        <v>4608</v>
      </c>
      <c r="S559" s="1" t="s">
        <v>4937</v>
      </c>
      <c r="T559" s="6">
        <v>44593</v>
      </c>
      <c r="U559" s="6">
        <v>44599</v>
      </c>
      <c r="V559" s="7">
        <v>0.58333333333333337</v>
      </c>
      <c r="W559" s="6">
        <v>44602</v>
      </c>
      <c r="X559" s="7">
        <v>0.33333333333333331</v>
      </c>
      <c r="Y559" s="1" t="s">
        <v>4860</v>
      </c>
      <c r="Z559" s="5">
        <v>17</v>
      </c>
      <c r="AA559" s="1" t="s">
        <v>3403</v>
      </c>
      <c r="AB559" s="1"/>
      <c r="AC559" s="1"/>
      <c r="AD559" s="1"/>
      <c r="AE559" s="1" t="s">
        <v>3727</v>
      </c>
      <c r="AF559" s="1" t="s">
        <v>9</v>
      </c>
      <c r="AG559" s="4">
        <v>10</v>
      </c>
      <c r="AH559" s="1"/>
      <c r="AI559" s="6">
        <v>44926</v>
      </c>
    </row>
    <row r="560" spans="1:35" x14ac:dyDescent="0.3">
      <c r="A560" s="1" t="s">
        <v>2046</v>
      </c>
      <c r="B560" s="2" t="str">
        <f>HYPERLINK("https://my.zakupki.prom.ua/remote/dispatcher/state_purchase_lot_view/740711")</f>
        <v>https://my.zakupki.prom.ua/remote/dispatcher/state_purchase_lot_view/740711</v>
      </c>
      <c r="C560" s="1" t="s">
        <v>1276</v>
      </c>
      <c r="D560" s="1" t="s">
        <v>1282</v>
      </c>
      <c r="E560" s="4">
        <v>80</v>
      </c>
      <c r="F560" s="5">
        <v>175.27</v>
      </c>
      <c r="G560" s="1" t="s">
        <v>4921</v>
      </c>
      <c r="H560" s="1" t="s">
        <v>974</v>
      </c>
      <c r="I560" s="1" t="s">
        <v>2544</v>
      </c>
      <c r="J560" s="5">
        <v>197029.47</v>
      </c>
      <c r="K560" s="5">
        <v>14021.6</v>
      </c>
      <c r="L560" s="5">
        <v>140.22</v>
      </c>
      <c r="M560" s="1" t="s">
        <v>2308</v>
      </c>
      <c r="N560" s="1" t="s">
        <v>3983</v>
      </c>
      <c r="O560" s="1" t="s">
        <v>2521</v>
      </c>
      <c r="P560" s="1" t="s">
        <v>3956</v>
      </c>
      <c r="Q560" s="1" t="s">
        <v>3238</v>
      </c>
      <c r="R560" s="1" t="s">
        <v>4609</v>
      </c>
      <c r="S560" s="1" t="s">
        <v>4937</v>
      </c>
      <c r="T560" s="6">
        <v>44593</v>
      </c>
      <c r="U560" s="6">
        <v>44599</v>
      </c>
      <c r="V560" s="7">
        <v>0.58333333333333337</v>
      </c>
      <c r="W560" s="6">
        <v>44602</v>
      </c>
      <c r="X560" s="7">
        <v>0.33333333333333331</v>
      </c>
      <c r="Y560" s="1" t="s">
        <v>4860</v>
      </c>
      <c r="Z560" s="5">
        <v>17</v>
      </c>
      <c r="AA560" s="1" t="s">
        <v>3403</v>
      </c>
      <c r="AB560" s="1"/>
      <c r="AC560" s="1"/>
      <c r="AD560" s="1"/>
      <c r="AE560" s="1" t="s">
        <v>3727</v>
      </c>
      <c r="AF560" s="1" t="s">
        <v>9</v>
      </c>
      <c r="AG560" s="4">
        <v>10</v>
      </c>
      <c r="AH560" s="1"/>
      <c r="AI560" s="6">
        <v>44926</v>
      </c>
    </row>
    <row r="561" spans="1:35" x14ac:dyDescent="0.3">
      <c r="A561" s="1" t="s">
        <v>2046</v>
      </c>
      <c r="B561" s="2" t="str">
        <f>HYPERLINK("https://my.zakupki.prom.ua/remote/dispatcher/state_purchase_lot_view/740712")</f>
        <v>https://my.zakupki.prom.ua/remote/dispatcher/state_purchase_lot_view/740712</v>
      </c>
      <c r="C561" s="1" t="s">
        <v>1277</v>
      </c>
      <c r="D561" s="1" t="s">
        <v>1282</v>
      </c>
      <c r="E561" s="4">
        <v>8</v>
      </c>
      <c r="F561" s="5">
        <v>180</v>
      </c>
      <c r="G561" s="1" t="s">
        <v>4921</v>
      </c>
      <c r="H561" s="1" t="s">
        <v>974</v>
      </c>
      <c r="I561" s="1" t="s">
        <v>2544</v>
      </c>
      <c r="J561" s="5">
        <v>197029.47</v>
      </c>
      <c r="K561" s="5">
        <v>1440</v>
      </c>
      <c r="L561" s="5">
        <v>14.4</v>
      </c>
      <c r="M561" s="1" t="s">
        <v>2308</v>
      </c>
      <c r="N561" s="1" t="s">
        <v>3983</v>
      </c>
      <c r="O561" s="1" t="s">
        <v>2521</v>
      </c>
      <c r="P561" s="1" t="s">
        <v>3956</v>
      </c>
      <c r="Q561" s="1" t="s">
        <v>3238</v>
      </c>
      <c r="R561" s="1" t="s">
        <v>4610</v>
      </c>
      <c r="S561" s="1" t="s">
        <v>4937</v>
      </c>
      <c r="T561" s="6">
        <v>44593</v>
      </c>
      <c r="U561" s="6">
        <v>44599</v>
      </c>
      <c r="V561" s="7">
        <v>0.58333333333333337</v>
      </c>
      <c r="W561" s="6">
        <v>44602</v>
      </c>
      <c r="X561" s="7">
        <v>0.33333333333333331</v>
      </c>
      <c r="Y561" s="1" t="s">
        <v>4860</v>
      </c>
      <c r="Z561" s="5">
        <v>17</v>
      </c>
      <c r="AA561" s="1" t="s">
        <v>3403</v>
      </c>
      <c r="AB561" s="1"/>
      <c r="AC561" s="1"/>
      <c r="AD561" s="1"/>
      <c r="AE561" s="1" t="s">
        <v>3727</v>
      </c>
      <c r="AF561" s="1" t="s">
        <v>9</v>
      </c>
      <c r="AG561" s="4">
        <v>10</v>
      </c>
      <c r="AH561" s="1"/>
      <c r="AI561" s="6">
        <v>44926</v>
      </c>
    </row>
    <row r="562" spans="1:35" x14ac:dyDescent="0.3">
      <c r="A562" s="1" t="s">
        <v>2046</v>
      </c>
      <c r="B562" s="2" t="str">
        <f>HYPERLINK("https://my.zakupki.prom.ua/remote/dispatcher/state_purchase_lot_view/740713")</f>
        <v>https://my.zakupki.prom.ua/remote/dispatcher/state_purchase_lot_view/740713</v>
      </c>
      <c r="C562" s="1" t="s">
        <v>1278</v>
      </c>
      <c r="D562" s="1" t="s">
        <v>1282</v>
      </c>
      <c r="E562" s="4">
        <v>36</v>
      </c>
      <c r="F562" s="5">
        <v>250</v>
      </c>
      <c r="G562" s="1" t="s">
        <v>4921</v>
      </c>
      <c r="H562" s="1" t="s">
        <v>974</v>
      </c>
      <c r="I562" s="1" t="s">
        <v>2544</v>
      </c>
      <c r="J562" s="5">
        <v>197029.47</v>
      </c>
      <c r="K562" s="5">
        <v>9000</v>
      </c>
      <c r="L562" s="5">
        <v>90</v>
      </c>
      <c r="M562" s="1" t="s">
        <v>2308</v>
      </c>
      <c r="N562" s="1" t="s">
        <v>3983</v>
      </c>
      <c r="O562" s="1" t="s">
        <v>2521</v>
      </c>
      <c r="P562" s="1" t="s">
        <v>3956</v>
      </c>
      <c r="Q562" s="1" t="s">
        <v>3238</v>
      </c>
      <c r="R562" s="1" t="s">
        <v>4611</v>
      </c>
      <c r="S562" s="1" t="s">
        <v>4937</v>
      </c>
      <c r="T562" s="6">
        <v>44593</v>
      </c>
      <c r="U562" s="6">
        <v>44599</v>
      </c>
      <c r="V562" s="7">
        <v>0.58333333333333337</v>
      </c>
      <c r="W562" s="6">
        <v>44602</v>
      </c>
      <c r="X562" s="7">
        <v>0.33333333333333331</v>
      </c>
      <c r="Y562" s="1" t="s">
        <v>4860</v>
      </c>
      <c r="Z562" s="5">
        <v>17</v>
      </c>
      <c r="AA562" s="1" t="s">
        <v>3403</v>
      </c>
      <c r="AB562" s="1"/>
      <c r="AC562" s="1"/>
      <c r="AD562" s="1"/>
      <c r="AE562" s="1" t="s">
        <v>3727</v>
      </c>
      <c r="AF562" s="1" t="s">
        <v>9</v>
      </c>
      <c r="AG562" s="4">
        <v>10</v>
      </c>
      <c r="AH562" s="1"/>
      <c r="AI562" s="6">
        <v>44926</v>
      </c>
    </row>
    <row r="563" spans="1:35" x14ac:dyDescent="0.3">
      <c r="A563" s="1" t="s">
        <v>2046</v>
      </c>
      <c r="B563" s="2" t="str">
        <f>HYPERLINK("https://my.zakupki.prom.ua/remote/dispatcher/state_purchase_lot_view/740714")</f>
        <v>https://my.zakupki.prom.ua/remote/dispatcher/state_purchase_lot_view/740714</v>
      </c>
      <c r="C563" s="1" t="s">
        <v>1272</v>
      </c>
      <c r="D563" s="1" t="s">
        <v>1282</v>
      </c>
      <c r="E563" s="4">
        <v>36</v>
      </c>
      <c r="F563" s="5">
        <v>149.4</v>
      </c>
      <c r="G563" s="1" t="s">
        <v>4921</v>
      </c>
      <c r="H563" s="1" t="s">
        <v>974</v>
      </c>
      <c r="I563" s="1" t="s">
        <v>2544</v>
      </c>
      <c r="J563" s="5">
        <v>197029.47</v>
      </c>
      <c r="K563" s="5">
        <v>5378.4</v>
      </c>
      <c r="L563" s="5">
        <v>53.78</v>
      </c>
      <c r="M563" s="1" t="s">
        <v>2308</v>
      </c>
      <c r="N563" s="1" t="s">
        <v>3983</v>
      </c>
      <c r="O563" s="1" t="s">
        <v>2521</v>
      </c>
      <c r="P563" s="1" t="s">
        <v>3956</v>
      </c>
      <c r="Q563" s="1" t="s">
        <v>3238</v>
      </c>
      <c r="R563" s="1" t="s">
        <v>4612</v>
      </c>
      <c r="S563" s="1" t="s">
        <v>4937</v>
      </c>
      <c r="T563" s="6">
        <v>44593</v>
      </c>
      <c r="U563" s="6">
        <v>44599</v>
      </c>
      <c r="V563" s="7">
        <v>0.58333333333333337</v>
      </c>
      <c r="W563" s="6">
        <v>44602</v>
      </c>
      <c r="X563" s="7">
        <v>0.33333333333333331</v>
      </c>
      <c r="Y563" s="1" t="s">
        <v>4860</v>
      </c>
      <c r="Z563" s="5">
        <v>17</v>
      </c>
      <c r="AA563" s="1" t="s">
        <v>3403</v>
      </c>
      <c r="AB563" s="1"/>
      <c r="AC563" s="1"/>
      <c r="AD563" s="1"/>
      <c r="AE563" s="1" t="s">
        <v>3727</v>
      </c>
      <c r="AF563" s="1" t="s">
        <v>9</v>
      </c>
      <c r="AG563" s="4">
        <v>10</v>
      </c>
      <c r="AH563" s="1"/>
      <c r="AI563" s="6">
        <v>44926</v>
      </c>
    </row>
    <row r="564" spans="1:35" x14ac:dyDescent="0.3">
      <c r="A564" s="1" t="s">
        <v>2046</v>
      </c>
      <c r="B564" s="2" t="str">
        <f>HYPERLINK("https://my.zakupki.prom.ua/remote/dispatcher/state_purchase_lot_view/740715")</f>
        <v>https://my.zakupki.prom.ua/remote/dispatcher/state_purchase_lot_view/740715</v>
      </c>
      <c r="C564" s="1" t="s">
        <v>1275</v>
      </c>
      <c r="D564" s="1" t="s">
        <v>1282</v>
      </c>
      <c r="E564" s="4">
        <v>60</v>
      </c>
      <c r="F564" s="5">
        <v>163.12</v>
      </c>
      <c r="G564" s="1" t="s">
        <v>4921</v>
      </c>
      <c r="H564" s="1" t="s">
        <v>974</v>
      </c>
      <c r="I564" s="1" t="s">
        <v>2544</v>
      </c>
      <c r="J564" s="5">
        <v>197029.47</v>
      </c>
      <c r="K564" s="5">
        <v>9787.2000000000007</v>
      </c>
      <c r="L564" s="5">
        <v>97.87</v>
      </c>
      <c r="M564" s="1" t="s">
        <v>2308</v>
      </c>
      <c r="N564" s="1" t="s">
        <v>3983</v>
      </c>
      <c r="O564" s="1" t="s">
        <v>2521</v>
      </c>
      <c r="P564" s="1" t="s">
        <v>3956</v>
      </c>
      <c r="Q564" s="1" t="s">
        <v>3238</v>
      </c>
      <c r="R564" s="1" t="s">
        <v>4601</v>
      </c>
      <c r="S564" s="1" t="s">
        <v>4937</v>
      </c>
      <c r="T564" s="6">
        <v>44593</v>
      </c>
      <c r="U564" s="6">
        <v>44599</v>
      </c>
      <c r="V564" s="7">
        <v>0.58333333333333337</v>
      </c>
      <c r="W564" s="6">
        <v>44602</v>
      </c>
      <c r="X564" s="7">
        <v>0.33333333333333331</v>
      </c>
      <c r="Y564" s="1" t="s">
        <v>4860</v>
      </c>
      <c r="Z564" s="5">
        <v>17</v>
      </c>
      <c r="AA564" s="1" t="s">
        <v>3403</v>
      </c>
      <c r="AB564" s="1"/>
      <c r="AC564" s="1"/>
      <c r="AD564" s="1"/>
      <c r="AE564" s="1" t="s">
        <v>3727</v>
      </c>
      <c r="AF564" s="1" t="s">
        <v>9</v>
      </c>
      <c r="AG564" s="4">
        <v>10</v>
      </c>
      <c r="AH564" s="1"/>
      <c r="AI564" s="6">
        <v>44926</v>
      </c>
    </row>
    <row r="565" spans="1:35" x14ac:dyDescent="0.3">
      <c r="A565" s="1" t="s">
        <v>2046</v>
      </c>
      <c r="B565" s="2" t="str">
        <f>HYPERLINK("https://my.zakupki.prom.ua/remote/dispatcher/state_purchase_lot_view/740716")</f>
        <v>https://my.zakupki.prom.ua/remote/dispatcher/state_purchase_lot_view/740716</v>
      </c>
      <c r="C565" s="1" t="s">
        <v>1273</v>
      </c>
      <c r="D565" s="1" t="s">
        <v>1282</v>
      </c>
      <c r="E565" s="4">
        <v>22</v>
      </c>
      <c r="F565" s="5">
        <v>305.08</v>
      </c>
      <c r="G565" s="1" t="s">
        <v>4921</v>
      </c>
      <c r="H565" s="1" t="s">
        <v>974</v>
      </c>
      <c r="I565" s="1" t="s">
        <v>2544</v>
      </c>
      <c r="J565" s="5">
        <v>197029.47</v>
      </c>
      <c r="K565" s="5">
        <v>6711.75</v>
      </c>
      <c r="L565" s="5">
        <v>67.12</v>
      </c>
      <c r="M565" s="1" t="s">
        <v>2308</v>
      </c>
      <c r="N565" s="1" t="s">
        <v>3983</v>
      </c>
      <c r="O565" s="1" t="s">
        <v>2521</v>
      </c>
      <c r="P565" s="1" t="s">
        <v>3956</v>
      </c>
      <c r="Q565" s="1" t="s">
        <v>3238</v>
      </c>
      <c r="R565" s="1" t="s">
        <v>4602</v>
      </c>
      <c r="S565" s="1" t="s">
        <v>4937</v>
      </c>
      <c r="T565" s="6">
        <v>44593</v>
      </c>
      <c r="U565" s="6">
        <v>44599</v>
      </c>
      <c r="V565" s="7">
        <v>0.58333333333333337</v>
      </c>
      <c r="W565" s="6">
        <v>44602</v>
      </c>
      <c r="X565" s="7">
        <v>0.33333333333333331</v>
      </c>
      <c r="Y565" s="1" t="s">
        <v>4860</v>
      </c>
      <c r="Z565" s="5">
        <v>17</v>
      </c>
      <c r="AA565" s="1" t="s">
        <v>3403</v>
      </c>
      <c r="AB565" s="1"/>
      <c r="AC565" s="1"/>
      <c r="AD565" s="1"/>
      <c r="AE565" s="1" t="s">
        <v>3727</v>
      </c>
      <c r="AF565" s="1" t="s">
        <v>9</v>
      </c>
      <c r="AG565" s="4">
        <v>10</v>
      </c>
      <c r="AH565" s="1"/>
      <c r="AI565" s="6">
        <v>44926</v>
      </c>
    </row>
    <row r="566" spans="1:35" x14ac:dyDescent="0.3">
      <c r="A566" s="1" t="s">
        <v>2046</v>
      </c>
      <c r="B566" s="2" t="str">
        <f>HYPERLINK("https://my.zakupki.prom.ua/remote/dispatcher/state_purchase_lot_view/740717")</f>
        <v>https://my.zakupki.prom.ua/remote/dispatcher/state_purchase_lot_view/740717</v>
      </c>
      <c r="C566" s="1" t="s">
        <v>1274</v>
      </c>
      <c r="D566" s="1" t="s">
        <v>1282</v>
      </c>
      <c r="E566" s="4">
        <v>23</v>
      </c>
      <c r="F566" s="5">
        <v>151.88999999999999</v>
      </c>
      <c r="G566" s="1" t="s">
        <v>4921</v>
      </c>
      <c r="H566" s="1" t="s">
        <v>974</v>
      </c>
      <c r="I566" s="1" t="s">
        <v>2544</v>
      </c>
      <c r="J566" s="5">
        <v>197029.47</v>
      </c>
      <c r="K566" s="5">
        <v>3493.5</v>
      </c>
      <c r="L566" s="5">
        <v>34.94</v>
      </c>
      <c r="M566" s="1" t="s">
        <v>2308</v>
      </c>
      <c r="N566" s="1" t="s">
        <v>3983</v>
      </c>
      <c r="O566" s="1" t="s">
        <v>2521</v>
      </c>
      <c r="P566" s="1" t="s">
        <v>3956</v>
      </c>
      <c r="Q566" s="1" t="s">
        <v>3238</v>
      </c>
      <c r="R566" s="1" t="s">
        <v>4603</v>
      </c>
      <c r="S566" s="1" t="s">
        <v>4937</v>
      </c>
      <c r="T566" s="6">
        <v>44593</v>
      </c>
      <c r="U566" s="6">
        <v>44599</v>
      </c>
      <c r="V566" s="7">
        <v>0.58333333333333337</v>
      </c>
      <c r="W566" s="6">
        <v>44602</v>
      </c>
      <c r="X566" s="7">
        <v>0.33333333333333331</v>
      </c>
      <c r="Y566" s="1" t="s">
        <v>4860</v>
      </c>
      <c r="Z566" s="5">
        <v>17</v>
      </c>
      <c r="AA566" s="1" t="s">
        <v>3403</v>
      </c>
      <c r="AB566" s="1"/>
      <c r="AC566" s="1"/>
      <c r="AD566" s="1"/>
      <c r="AE566" s="1" t="s">
        <v>3727</v>
      </c>
      <c r="AF566" s="1" t="s">
        <v>9</v>
      </c>
      <c r="AG566" s="4">
        <v>10</v>
      </c>
      <c r="AH566" s="1"/>
      <c r="AI566" s="6">
        <v>44926</v>
      </c>
    </row>
    <row r="567" spans="1:35" x14ac:dyDescent="0.3">
      <c r="A567" s="1" t="s">
        <v>2046</v>
      </c>
      <c r="B567" s="2" t="str">
        <f>HYPERLINK("https://my.zakupki.prom.ua/remote/dispatcher/state_purchase_lot_view/740718")</f>
        <v>https://my.zakupki.prom.ua/remote/dispatcher/state_purchase_lot_view/740718</v>
      </c>
      <c r="C567" s="1" t="s">
        <v>1280</v>
      </c>
      <c r="D567" s="1" t="s">
        <v>1282</v>
      </c>
      <c r="E567" s="4">
        <v>60</v>
      </c>
      <c r="F567" s="5">
        <v>130</v>
      </c>
      <c r="G567" s="1" t="s">
        <v>4921</v>
      </c>
      <c r="H567" s="1" t="s">
        <v>974</v>
      </c>
      <c r="I567" s="1" t="s">
        <v>2544</v>
      </c>
      <c r="J567" s="5">
        <v>197029.47</v>
      </c>
      <c r="K567" s="5">
        <v>7800</v>
      </c>
      <c r="L567" s="5">
        <v>78</v>
      </c>
      <c r="M567" s="1" t="s">
        <v>2308</v>
      </c>
      <c r="N567" s="1" t="s">
        <v>3983</v>
      </c>
      <c r="O567" s="1" t="s">
        <v>2521</v>
      </c>
      <c r="P567" s="1" t="s">
        <v>3956</v>
      </c>
      <c r="Q567" s="1" t="s">
        <v>3238</v>
      </c>
      <c r="R567" s="1" t="s">
        <v>4604</v>
      </c>
      <c r="S567" s="1" t="s">
        <v>4937</v>
      </c>
      <c r="T567" s="6">
        <v>44593</v>
      </c>
      <c r="U567" s="6">
        <v>44599</v>
      </c>
      <c r="V567" s="7">
        <v>0.58333333333333337</v>
      </c>
      <c r="W567" s="6">
        <v>44602</v>
      </c>
      <c r="X567" s="7">
        <v>0.33333333333333331</v>
      </c>
      <c r="Y567" s="1" t="s">
        <v>4860</v>
      </c>
      <c r="Z567" s="5">
        <v>17</v>
      </c>
      <c r="AA567" s="1" t="s">
        <v>3403</v>
      </c>
      <c r="AB567" s="1"/>
      <c r="AC567" s="1"/>
      <c r="AD567" s="1"/>
      <c r="AE567" s="1" t="s">
        <v>3727</v>
      </c>
      <c r="AF567" s="1" t="s">
        <v>9</v>
      </c>
      <c r="AG567" s="4">
        <v>10</v>
      </c>
      <c r="AH567" s="1"/>
      <c r="AI567" s="6">
        <v>44926</v>
      </c>
    </row>
    <row r="568" spans="1:35" x14ac:dyDescent="0.3">
      <c r="A568" s="1" t="s">
        <v>2045</v>
      </c>
      <c r="B568" s="2" t="str">
        <f>HYPERLINK("https://my.zakupki.prom.ua/remote/dispatcher/state_purchase_view/34687811")</f>
        <v>https://my.zakupki.prom.ua/remote/dispatcher/state_purchase_view/34687811</v>
      </c>
      <c r="C568" s="1" t="s">
        <v>3991</v>
      </c>
      <c r="D568" s="1" t="s">
        <v>737</v>
      </c>
      <c r="E568" s="4">
        <v>1</v>
      </c>
      <c r="F568" s="5">
        <v>8500</v>
      </c>
      <c r="G568" s="1" t="s">
        <v>4991</v>
      </c>
      <c r="H568" s="1" t="s">
        <v>238</v>
      </c>
      <c r="I568" s="1" t="s">
        <v>2981</v>
      </c>
      <c r="J568" s="5">
        <v>8500</v>
      </c>
      <c r="K568" s="1" t="s">
        <v>3394</v>
      </c>
      <c r="L568" s="5">
        <v>85</v>
      </c>
      <c r="M568" s="1" t="s">
        <v>2308</v>
      </c>
      <c r="N568" s="1" t="s">
        <v>3983</v>
      </c>
      <c r="O568" s="1" t="s">
        <v>2521</v>
      </c>
      <c r="P568" s="1" t="s">
        <v>3956</v>
      </c>
      <c r="Q568" s="1" t="s">
        <v>4834</v>
      </c>
      <c r="R568" s="1" t="s">
        <v>4589</v>
      </c>
      <c r="S568" s="1" t="s">
        <v>4937</v>
      </c>
      <c r="T568" s="6">
        <v>44593</v>
      </c>
      <c r="U568" s="6">
        <v>44599</v>
      </c>
      <c r="V568" s="7">
        <v>0.95833333333333337</v>
      </c>
      <c r="W568" s="6">
        <v>44603</v>
      </c>
      <c r="X568" s="7">
        <v>0.33333333333333331</v>
      </c>
      <c r="Y568" s="1" t="s">
        <v>4860</v>
      </c>
      <c r="Z568" s="5">
        <v>17</v>
      </c>
      <c r="AA568" s="1" t="s">
        <v>3403</v>
      </c>
      <c r="AB568" s="1"/>
      <c r="AC568" s="1"/>
      <c r="AD568" s="1"/>
      <c r="AE568" s="1" t="s">
        <v>3798</v>
      </c>
      <c r="AF568" s="1" t="s">
        <v>9</v>
      </c>
      <c r="AG568" s="4">
        <v>11</v>
      </c>
      <c r="AH568" s="1"/>
      <c r="AI568" s="6">
        <v>44926</v>
      </c>
    </row>
    <row r="569" spans="1:35" x14ac:dyDescent="0.3">
      <c r="A569" s="1" t="s">
        <v>2044</v>
      </c>
      <c r="B569" s="2" t="str">
        <f>HYPERLINK("https://my.zakupki.prom.ua/remote/dispatcher/state_purchase_view/34687803")</f>
        <v>https://my.zakupki.prom.ua/remote/dispatcher/state_purchase_view/34687803</v>
      </c>
      <c r="C569" s="1" t="s">
        <v>3476</v>
      </c>
      <c r="D569" s="1" t="s">
        <v>369</v>
      </c>
      <c r="E569" s="4">
        <v>57</v>
      </c>
      <c r="F569" s="5">
        <v>7000</v>
      </c>
      <c r="G569" s="1" t="s">
        <v>4983</v>
      </c>
      <c r="H569" s="1" t="s">
        <v>1019</v>
      </c>
      <c r="I569" s="1" t="s">
        <v>4032</v>
      </c>
      <c r="J569" s="5">
        <v>399000</v>
      </c>
      <c r="K569" s="1" t="s">
        <v>3394</v>
      </c>
      <c r="L569" s="5">
        <v>1995</v>
      </c>
      <c r="M569" s="1" t="s">
        <v>2308</v>
      </c>
      <c r="N569" s="1" t="s">
        <v>3983</v>
      </c>
      <c r="O569" s="1" t="s">
        <v>2521</v>
      </c>
      <c r="P569" s="1" t="s">
        <v>2515</v>
      </c>
      <c r="Q569" s="1" t="s">
        <v>3426</v>
      </c>
      <c r="R569" s="1" t="s">
        <v>4081</v>
      </c>
      <c r="S569" s="1" t="s">
        <v>4971</v>
      </c>
      <c r="T569" s="6">
        <v>44593</v>
      </c>
      <c r="U569" s="6">
        <v>44593</v>
      </c>
      <c r="V569" s="7">
        <v>0.53154498883101853</v>
      </c>
      <c r="W569" s="6">
        <v>44609</v>
      </c>
      <c r="X569" s="7">
        <v>0</v>
      </c>
      <c r="Y569" s="8">
        <v>44609.664826388886</v>
      </c>
      <c r="Z569" s="5">
        <v>510</v>
      </c>
      <c r="AA569" s="1" t="s">
        <v>3403</v>
      </c>
      <c r="AB569" s="1"/>
      <c r="AC569" s="1"/>
      <c r="AD569" s="1"/>
      <c r="AE569" s="1" t="s">
        <v>3788</v>
      </c>
      <c r="AF569" s="1" t="s">
        <v>9</v>
      </c>
      <c r="AG569" s="4">
        <v>5</v>
      </c>
      <c r="AH569" s="1"/>
      <c r="AI569" s="6">
        <v>44926</v>
      </c>
    </row>
    <row r="570" spans="1:35" x14ac:dyDescent="0.3">
      <c r="A570" s="1" t="s">
        <v>1643</v>
      </c>
      <c r="B570" s="2" t="str">
        <f>HYPERLINK("https://my.zakupki.prom.ua/remote/dispatcher/state_purchase_view/34687799")</f>
        <v>https://my.zakupki.prom.ua/remote/dispatcher/state_purchase_view/34687799</v>
      </c>
      <c r="C570" s="1" t="s">
        <v>3212</v>
      </c>
      <c r="D570" s="1" t="s">
        <v>457</v>
      </c>
      <c r="E570" s="1" t="s">
        <v>4903</v>
      </c>
      <c r="F570" s="1" t="s">
        <v>4903</v>
      </c>
      <c r="G570" s="1" t="s">
        <v>4903</v>
      </c>
      <c r="H570" s="1" t="s">
        <v>674</v>
      </c>
      <c r="I570" s="1" t="s">
        <v>3396</v>
      </c>
      <c r="J570" s="5">
        <v>592000</v>
      </c>
      <c r="K570" s="1" t="s">
        <v>3394</v>
      </c>
      <c r="L570" s="5">
        <v>5920</v>
      </c>
      <c r="M570" s="1" t="s">
        <v>2308</v>
      </c>
      <c r="N570" s="1" t="s">
        <v>3983</v>
      </c>
      <c r="O570" s="1" t="s">
        <v>2521</v>
      </c>
      <c r="P570" s="1" t="s">
        <v>2515</v>
      </c>
      <c r="Q570" s="1" t="s">
        <v>3035</v>
      </c>
      <c r="R570" s="1" t="s">
        <v>4159</v>
      </c>
      <c r="S570" s="1" t="s">
        <v>4971</v>
      </c>
      <c r="T570" s="6">
        <v>44593</v>
      </c>
      <c r="U570" s="6">
        <v>44593</v>
      </c>
      <c r="V570" s="7">
        <v>0.52866180370370375</v>
      </c>
      <c r="W570" s="6">
        <v>44609</v>
      </c>
      <c r="X570" s="7">
        <v>0</v>
      </c>
      <c r="Y570" s="8">
        <v>44609.641967592594</v>
      </c>
      <c r="Z570" s="5">
        <v>510</v>
      </c>
      <c r="AA570" s="1" t="s">
        <v>3403</v>
      </c>
      <c r="AB570" s="1"/>
      <c r="AC570" s="1"/>
      <c r="AD570" s="1"/>
      <c r="AE570" s="1" t="s">
        <v>3788</v>
      </c>
      <c r="AF570" s="1" t="s">
        <v>9</v>
      </c>
      <c r="AG570" s="4">
        <v>13</v>
      </c>
      <c r="AH570" s="1"/>
      <c r="AI570" s="6">
        <v>44921</v>
      </c>
    </row>
    <row r="571" spans="1:35" x14ac:dyDescent="0.3">
      <c r="A571" s="1" t="s">
        <v>1640</v>
      </c>
      <c r="B571" s="2" t="str">
        <f>HYPERLINK("https://my.zakupki.prom.ua/remote/dispatcher/state_purchase_view/34687786")</f>
        <v>https://my.zakupki.prom.ua/remote/dispatcher/state_purchase_view/34687786</v>
      </c>
      <c r="C571" s="1" t="s">
        <v>4887</v>
      </c>
      <c r="D571" s="1" t="s">
        <v>213</v>
      </c>
      <c r="E571" s="1" t="s">
        <v>4903</v>
      </c>
      <c r="F571" s="1" t="s">
        <v>4903</v>
      </c>
      <c r="G571" s="1" t="s">
        <v>4903</v>
      </c>
      <c r="H571" s="1" t="s">
        <v>653</v>
      </c>
      <c r="I571" s="1" t="s">
        <v>2956</v>
      </c>
      <c r="J571" s="5">
        <v>107000</v>
      </c>
      <c r="K571" s="1" t="s">
        <v>3394</v>
      </c>
      <c r="L571" s="5">
        <v>535</v>
      </c>
      <c r="M571" s="1" t="s">
        <v>2308</v>
      </c>
      <c r="N571" s="1" t="s">
        <v>3983</v>
      </c>
      <c r="O571" s="1" t="s">
        <v>2521</v>
      </c>
      <c r="P571" s="1" t="s">
        <v>3956</v>
      </c>
      <c r="Q571" s="1" t="s">
        <v>2756</v>
      </c>
      <c r="R571" s="1" t="s">
        <v>4657</v>
      </c>
      <c r="S571" s="1" t="s">
        <v>4937</v>
      </c>
      <c r="T571" s="6">
        <v>44593</v>
      </c>
      <c r="U571" s="6">
        <v>44599</v>
      </c>
      <c r="V571" s="7">
        <v>0</v>
      </c>
      <c r="W571" s="6">
        <v>44602</v>
      </c>
      <c r="X571" s="7">
        <v>0</v>
      </c>
      <c r="Y571" s="1" t="s">
        <v>4860</v>
      </c>
      <c r="Z571" s="5">
        <v>340</v>
      </c>
      <c r="AA571" s="1" t="s">
        <v>3403</v>
      </c>
      <c r="AB571" s="1"/>
      <c r="AC571" s="1"/>
      <c r="AD571" s="1"/>
      <c r="AE571" s="1" t="s">
        <v>3788</v>
      </c>
      <c r="AF571" s="1" t="s">
        <v>9</v>
      </c>
      <c r="AG571" s="1" t="s">
        <v>9</v>
      </c>
      <c r="AH571" s="1"/>
      <c r="AI571" s="6">
        <v>44592</v>
      </c>
    </row>
    <row r="572" spans="1:35" x14ac:dyDescent="0.3">
      <c r="A572" s="1" t="s">
        <v>1645</v>
      </c>
      <c r="B572" s="2" t="str">
        <f>HYPERLINK("https://my.zakupki.prom.ua/remote/dispatcher/state_purchase_view/34687785")</f>
        <v>https://my.zakupki.prom.ua/remote/dispatcher/state_purchase_view/34687785</v>
      </c>
      <c r="C572" s="1" t="s">
        <v>3663</v>
      </c>
      <c r="D572" s="1" t="s">
        <v>370</v>
      </c>
      <c r="E572" s="4">
        <v>25000</v>
      </c>
      <c r="F572" s="5">
        <v>7.99</v>
      </c>
      <c r="G572" s="1" t="s">
        <v>4921</v>
      </c>
      <c r="H572" s="1" t="s">
        <v>138</v>
      </c>
      <c r="I572" s="1" t="s">
        <v>3393</v>
      </c>
      <c r="J572" s="5">
        <v>199750</v>
      </c>
      <c r="K572" s="1" t="s">
        <v>3394</v>
      </c>
      <c r="L572" s="5">
        <v>998.75</v>
      </c>
      <c r="M572" s="1" t="s">
        <v>2308</v>
      </c>
      <c r="N572" s="1" t="s">
        <v>3983</v>
      </c>
      <c r="O572" s="1" t="s">
        <v>2521</v>
      </c>
      <c r="P572" s="1" t="s">
        <v>3956</v>
      </c>
      <c r="Q572" s="1" t="s">
        <v>3878</v>
      </c>
      <c r="R572" s="1" t="s">
        <v>4081</v>
      </c>
      <c r="S572" s="1" t="s">
        <v>4937</v>
      </c>
      <c r="T572" s="6">
        <v>44593</v>
      </c>
      <c r="U572" s="6">
        <v>44599</v>
      </c>
      <c r="V572" s="7">
        <v>0.45833333333333331</v>
      </c>
      <c r="W572" s="6">
        <v>44602</v>
      </c>
      <c r="X572" s="7">
        <v>0.45833333333333331</v>
      </c>
      <c r="Y572" s="1" t="s">
        <v>4860</v>
      </c>
      <c r="Z572" s="5">
        <v>340</v>
      </c>
      <c r="AA572" s="1" t="s">
        <v>3403</v>
      </c>
      <c r="AB572" s="1"/>
      <c r="AC572" s="1"/>
      <c r="AD572" s="1"/>
      <c r="AE572" s="1" t="s">
        <v>3767</v>
      </c>
      <c r="AF572" s="1" t="s">
        <v>9</v>
      </c>
      <c r="AG572" s="4">
        <v>6</v>
      </c>
      <c r="AH572" s="1"/>
      <c r="AI572" s="6">
        <v>44926</v>
      </c>
    </row>
    <row r="573" spans="1:35" x14ac:dyDescent="0.3">
      <c r="A573" s="1" t="s">
        <v>1646</v>
      </c>
      <c r="B573" s="2" t="str">
        <f>HYPERLINK("https://my.zakupki.prom.ua/remote/dispatcher/state_purchase_view/34687780")</f>
        <v>https://my.zakupki.prom.ua/remote/dispatcher/state_purchase_view/34687780</v>
      </c>
      <c r="C573" s="1" t="s">
        <v>4838</v>
      </c>
      <c r="D573" s="1" t="s">
        <v>830</v>
      </c>
      <c r="E573" s="4">
        <v>4</v>
      </c>
      <c r="F573" s="5">
        <v>4000</v>
      </c>
      <c r="G573" s="1" t="s">
        <v>4991</v>
      </c>
      <c r="H573" s="1" t="s">
        <v>975</v>
      </c>
      <c r="I573" s="1" t="s">
        <v>2548</v>
      </c>
      <c r="J573" s="5">
        <v>16000</v>
      </c>
      <c r="K573" s="1" t="s">
        <v>3394</v>
      </c>
      <c r="L573" s="5">
        <v>160</v>
      </c>
      <c r="M573" s="1" t="s">
        <v>2308</v>
      </c>
      <c r="N573" s="1" t="s">
        <v>3983</v>
      </c>
      <c r="O573" s="1" t="s">
        <v>2521</v>
      </c>
      <c r="P573" s="1" t="s">
        <v>3956</v>
      </c>
      <c r="Q573" s="1" t="s">
        <v>3035</v>
      </c>
      <c r="R573" s="1" t="s">
        <v>4323</v>
      </c>
      <c r="S573" s="1" t="s">
        <v>4937</v>
      </c>
      <c r="T573" s="6">
        <v>44593</v>
      </c>
      <c r="U573" s="6">
        <v>44599</v>
      </c>
      <c r="V573" s="7">
        <v>0.41666666666666669</v>
      </c>
      <c r="W573" s="6">
        <v>44602</v>
      </c>
      <c r="X573" s="7">
        <v>0.41666666666666669</v>
      </c>
      <c r="Y573" s="1" t="s">
        <v>4860</v>
      </c>
      <c r="Z573" s="5">
        <v>17</v>
      </c>
      <c r="AA573" s="1" t="s">
        <v>3403</v>
      </c>
      <c r="AB573" s="1"/>
      <c r="AC573" s="1"/>
      <c r="AD573" s="1"/>
      <c r="AE573" s="1" t="s">
        <v>3765</v>
      </c>
      <c r="AF573" s="1" t="s">
        <v>9</v>
      </c>
      <c r="AG573" s="4">
        <v>31</v>
      </c>
      <c r="AH573" s="6">
        <v>44608</v>
      </c>
      <c r="AI573" s="6">
        <v>44622</v>
      </c>
    </row>
    <row r="574" spans="1:35" x14ac:dyDescent="0.3">
      <c r="A574" s="1" t="s">
        <v>1394</v>
      </c>
      <c r="B574" s="2" t="str">
        <f>HYPERLINK("https://my.zakupki.prom.ua/remote/dispatcher/state_purchase_view/34687769")</f>
        <v>https://my.zakupki.prom.ua/remote/dispatcher/state_purchase_view/34687769</v>
      </c>
      <c r="C574" s="1" t="s">
        <v>3672</v>
      </c>
      <c r="D574" s="1" t="s">
        <v>486</v>
      </c>
      <c r="E574" s="1" t="s">
        <v>4903</v>
      </c>
      <c r="F574" s="1" t="s">
        <v>4903</v>
      </c>
      <c r="G574" s="1" t="s">
        <v>4903</v>
      </c>
      <c r="H574" s="1" t="s">
        <v>1010</v>
      </c>
      <c r="I574" s="1" t="s">
        <v>4814</v>
      </c>
      <c r="J574" s="5">
        <v>72722</v>
      </c>
      <c r="K574" s="1" t="s">
        <v>3394</v>
      </c>
      <c r="L574" s="5">
        <v>363.61</v>
      </c>
      <c r="M574" s="1" t="s">
        <v>2308</v>
      </c>
      <c r="N574" s="1" t="s">
        <v>3983</v>
      </c>
      <c r="O574" s="1" t="s">
        <v>2521</v>
      </c>
      <c r="P574" s="1" t="s">
        <v>3956</v>
      </c>
      <c r="Q574" s="1" t="s">
        <v>3264</v>
      </c>
      <c r="R574" s="1" t="s">
        <v>4462</v>
      </c>
      <c r="S574" s="1" t="s">
        <v>4937</v>
      </c>
      <c r="T574" s="6">
        <v>44593</v>
      </c>
      <c r="U574" s="6">
        <v>44599</v>
      </c>
      <c r="V574" s="7">
        <v>0</v>
      </c>
      <c r="W574" s="6">
        <v>44602</v>
      </c>
      <c r="X574" s="7">
        <v>0</v>
      </c>
      <c r="Y574" s="1" t="s">
        <v>4860</v>
      </c>
      <c r="Z574" s="5">
        <v>340</v>
      </c>
      <c r="AA574" s="1" t="s">
        <v>3403</v>
      </c>
      <c r="AB574" s="1"/>
      <c r="AC574" s="1"/>
      <c r="AD574" s="1"/>
      <c r="AE574" s="1" t="s">
        <v>3788</v>
      </c>
      <c r="AF574" s="1" t="s">
        <v>9</v>
      </c>
      <c r="AG574" s="4">
        <v>3</v>
      </c>
      <c r="AH574" s="1"/>
      <c r="AI574" s="6">
        <v>44926</v>
      </c>
    </row>
    <row r="575" spans="1:35" x14ac:dyDescent="0.3">
      <c r="A575" s="1" t="s">
        <v>2041</v>
      </c>
      <c r="B575" s="2" t="str">
        <f>HYPERLINK("https://my.zakupki.prom.ua/remote/dispatcher/state_purchase_view/34687758")</f>
        <v>https://my.zakupki.prom.ua/remote/dispatcher/state_purchase_view/34687758</v>
      </c>
      <c r="C575" s="1" t="s">
        <v>1159</v>
      </c>
      <c r="D575" s="1" t="s">
        <v>1158</v>
      </c>
      <c r="E575" s="4">
        <v>1</v>
      </c>
      <c r="F575" s="5">
        <v>78430</v>
      </c>
      <c r="G575" s="1" t="s">
        <v>4939</v>
      </c>
      <c r="H575" s="1" t="s">
        <v>1063</v>
      </c>
      <c r="I575" s="1" t="s">
        <v>4758</v>
      </c>
      <c r="J575" s="5">
        <v>78430</v>
      </c>
      <c r="K575" s="1" t="s">
        <v>3394</v>
      </c>
      <c r="L575" s="5">
        <v>784.3</v>
      </c>
      <c r="M575" s="1" t="s">
        <v>2308</v>
      </c>
      <c r="N575" s="1" t="s">
        <v>3403</v>
      </c>
      <c r="O575" s="1" t="s">
        <v>2521</v>
      </c>
      <c r="P575" s="1" t="s">
        <v>2515</v>
      </c>
      <c r="Q575" s="1" t="s">
        <v>3035</v>
      </c>
      <c r="R575" s="1" t="s">
        <v>4081</v>
      </c>
      <c r="S575" s="1" t="s">
        <v>4971</v>
      </c>
      <c r="T575" s="6">
        <v>44593</v>
      </c>
      <c r="U575" s="6">
        <v>44593</v>
      </c>
      <c r="V575" s="7">
        <v>0.53237268518518521</v>
      </c>
      <c r="W575" s="6">
        <v>44610</v>
      </c>
      <c r="X575" s="7">
        <v>0.75</v>
      </c>
      <c r="Y575" s="8">
        <v>44613.56689814815</v>
      </c>
      <c r="Z575" s="5">
        <v>340</v>
      </c>
      <c r="AA575" s="1" t="s">
        <v>3403</v>
      </c>
      <c r="AB575" s="1"/>
      <c r="AC575" s="1"/>
      <c r="AD575" s="1"/>
      <c r="AE575" s="1" t="s">
        <v>3757</v>
      </c>
      <c r="AF575" s="1" t="s">
        <v>9</v>
      </c>
      <c r="AG575" s="4">
        <v>8</v>
      </c>
      <c r="AH575" s="1"/>
      <c r="AI575" s="6">
        <v>44926</v>
      </c>
    </row>
    <row r="576" spans="1:35" x14ac:dyDescent="0.3">
      <c r="A576" s="1" t="s">
        <v>2042</v>
      </c>
      <c r="B576" s="2" t="str">
        <f>HYPERLINK("https://my.zakupki.prom.ua/remote/dispatcher/state_purchase_view/34687709")</f>
        <v>https://my.zakupki.prom.ua/remote/dispatcher/state_purchase_view/34687709</v>
      </c>
      <c r="C576" s="1" t="s">
        <v>2420</v>
      </c>
      <c r="D576" s="1" t="s">
        <v>485</v>
      </c>
      <c r="E576" s="4">
        <v>6300</v>
      </c>
      <c r="F576" s="5">
        <v>25.71</v>
      </c>
      <c r="G576" s="1" t="s">
        <v>4901</v>
      </c>
      <c r="H576" s="1" t="s">
        <v>136</v>
      </c>
      <c r="I576" s="1" t="s">
        <v>3266</v>
      </c>
      <c r="J576" s="5">
        <v>162000</v>
      </c>
      <c r="K576" s="1" t="s">
        <v>3394</v>
      </c>
      <c r="L576" s="5">
        <v>810</v>
      </c>
      <c r="M576" s="1" t="s">
        <v>2308</v>
      </c>
      <c r="N576" s="1" t="s">
        <v>3983</v>
      </c>
      <c r="O576" s="1" t="s">
        <v>2521</v>
      </c>
      <c r="P576" s="1" t="s">
        <v>3956</v>
      </c>
      <c r="Q576" s="1" t="s">
        <v>3264</v>
      </c>
      <c r="R576" s="1" t="s">
        <v>4427</v>
      </c>
      <c r="S576" s="1" t="s">
        <v>4937</v>
      </c>
      <c r="T576" s="6">
        <v>44593</v>
      </c>
      <c r="U576" s="6">
        <v>44599</v>
      </c>
      <c r="V576" s="7">
        <v>0.52777777777777779</v>
      </c>
      <c r="W576" s="6">
        <v>44602</v>
      </c>
      <c r="X576" s="7">
        <v>0.52777777777777779</v>
      </c>
      <c r="Y576" s="1" t="s">
        <v>4860</v>
      </c>
      <c r="Z576" s="5">
        <v>340</v>
      </c>
      <c r="AA576" s="1" t="s">
        <v>3403</v>
      </c>
      <c r="AB576" s="1"/>
      <c r="AC576" s="1"/>
      <c r="AD576" s="1"/>
      <c r="AE576" s="1" t="s">
        <v>3803</v>
      </c>
      <c r="AF576" s="1" t="s">
        <v>9</v>
      </c>
      <c r="AG576" s="4">
        <v>47</v>
      </c>
      <c r="AH576" s="6">
        <v>44606</v>
      </c>
      <c r="AI576" s="6">
        <v>44926</v>
      </c>
    </row>
    <row r="577" spans="1:35" x14ac:dyDescent="0.3">
      <c r="A577" s="1" t="s">
        <v>2040</v>
      </c>
      <c r="B577" s="2" t="str">
        <f>HYPERLINK("https://my.zakupki.prom.ua/remote/dispatcher/state_purchase_view/34687704")</f>
        <v>https://my.zakupki.prom.ua/remote/dispatcher/state_purchase_view/34687704</v>
      </c>
      <c r="C577" s="1" t="s">
        <v>4780</v>
      </c>
      <c r="D577" s="1" t="s">
        <v>459</v>
      </c>
      <c r="E577" s="1" t="s">
        <v>4903</v>
      </c>
      <c r="F577" s="1" t="s">
        <v>4903</v>
      </c>
      <c r="G577" s="1" t="s">
        <v>4903</v>
      </c>
      <c r="H577" s="1" t="s">
        <v>706</v>
      </c>
      <c r="I577" s="1" t="s">
        <v>2694</v>
      </c>
      <c r="J577" s="5">
        <v>78500</v>
      </c>
      <c r="K577" s="1" t="s">
        <v>3394</v>
      </c>
      <c r="L577" s="5">
        <v>392.5</v>
      </c>
      <c r="M577" s="1" t="s">
        <v>2308</v>
      </c>
      <c r="N577" s="1" t="s">
        <v>3983</v>
      </c>
      <c r="O577" s="1" t="s">
        <v>2521</v>
      </c>
      <c r="P577" s="1" t="s">
        <v>3956</v>
      </c>
      <c r="Q577" s="1" t="s">
        <v>3238</v>
      </c>
      <c r="R577" s="1" t="s">
        <v>4674</v>
      </c>
      <c r="S577" s="1" t="s">
        <v>4937</v>
      </c>
      <c r="T577" s="6">
        <v>44593</v>
      </c>
      <c r="U577" s="6">
        <v>44599</v>
      </c>
      <c r="V577" s="7">
        <v>0</v>
      </c>
      <c r="W577" s="6">
        <v>44602</v>
      </c>
      <c r="X577" s="7">
        <v>0</v>
      </c>
      <c r="Y577" s="1" t="s">
        <v>4860</v>
      </c>
      <c r="Z577" s="5">
        <v>340</v>
      </c>
      <c r="AA577" s="1" t="s">
        <v>3403</v>
      </c>
      <c r="AB577" s="1"/>
      <c r="AC577" s="1"/>
      <c r="AD577" s="1"/>
      <c r="AE577" s="1" t="s">
        <v>3788</v>
      </c>
      <c r="AF577" s="1" t="s">
        <v>9</v>
      </c>
      <c r="AG577" s="1" t="s">
        <v>9</v>
      </c>
      <c r="AH577" s="1"/>
      <c r="AI577" s="6">
        <v>44926</v>
      </c>
    </row>
    <row r="578" spans="1:35" x14ac:dyDescent="0.3">
      <c r="A578" s="1" t="s">
        <v>2038</v>
      </c>
      <c r="B578" s="2" t="str">
        <f>HYPERLINK("https://my.zakupki.prom.ua/remote/dispatcher/state_purchase_view/34687675")</f>
        <v>https://my.zakupki.prom.ua/remote/dispatcher/state_purchase_view/34687675</v>
      </c>
      <c r="C578" s="1" t="s">
        <v>2673</v>
      </c>
      <c r="D578" s="1" t="s">
        <v>789</v>
      </c>
      <c r="E578" s="1" t="s">
        <v>4903</v>
      </c>
      <c r="F578" s="1" t="s">
        <v>4903</v>
      </c>
      <c r="G578" s="1" t="s">
        <v>4903</v>
      </c>
      <c r="H578" s="1" t="s">
        <v>914</v>
      </c>
      <c r="I578" s="1" t="s">
        <v>2912</v>
      </c>
      <c r="J578" s="5">
        <v>156215</v>
      </c>
      <c r="K578" s="1" t="s">
        <v>3394</v>
      </c>
      <c r="L578" s="5">
        <v>781.08</v>
      </c>
      <c r="M578" s="1" t="s">
        <v>2308</v>
      </c>
      <c r="N578" s="1" t="s">
        <v>3983</v>
      </c>
      <c r="O578" s="1" t="s">
        <v>2521</v>
      </c>
      <c r="P578" s="1" t="s">
        <v>3956</v>
      </c>
      <c r="Q578" s="1" t="s">
        <v>2756</v>
      </c>
      <c r="R578" s="1" t="s">
        <v>4662</v>
      </c>
      <c r="S578" s="1" t="s">
        <v>4937</v>
      </c>
      <c r="T578" s="6">
        <v>44593</v>
      </c>
      <c r="U578" s="6">
        <v>44599</v>
      </c>
      <c r="V578" s="7">
        <v>0</v>
      </c>
      <c r="W578" s="6">
        <v>44602</v>
      </c>
      <c r="X578" s="7">
        <v>0</v>
      </c>
      <c r="Y578" s="1" t="s">
        <v>4860</v>
      </c>
      <c r="Z578" s="5">
        <v>340</v>
      </c>
      <c r="AA578" s="1" t="s">
        <v>3403</v>
      </c>
      <c r="AB578" s="1"/>
      <c r="AC578" s="1"/>
      <c r="AD578" s="1"/>
      <c r="AE578" s="1" t="s">
        <v>3767</v>
      </c>
      <c r="AF578" s="1" t="s">
        <v>9</v>
      </c>
      <c r="AG578" s="4">
        <v>2</v>
      </c>
      <c r="AH578" s="1"/>
      <c r="AI578" s="6">
        <v>44926</v>
      </c>
    </row>
    <row r="579" spans="1:35" x14ac:dyDescent="0.3">
      <c r="A579" s="1" t="s">
        <v>2037</v>
      </c>
      <c r="B579" s="2" t="str">
        <f>HYPERLINK("https://my.zakupki.prom.ua/remote/dispatcher/state_purchase_view/34687662")</f>
        <v>https://my.zakupki.prom.ua/remote/dispatcher/state_purchase_view/34687662</v>
      </c>
      <c r="C579" s="1" t="s">
        <v>3418</v>
      </c>
      <c r="D579" s="1" t="s">
        <v>213</v>
      </c>
      <c r="E579" s="4">
        <v>5</v>
      </c>
      <c r="F579" s="5">
        <v>19058.599999999999</v>
      </c>
      <c r="G579" s="1" t="s">
        <v>4924</v>
      </c>
      <c r="H579" s="1" t="s">
        <v>317</v>
      </c>
      <c r="I579" s="1" t="s">
        <v>3201</v>
      </c>
      <c r="J579" s="5">
        <v>95293</v>
      </c>
      <c r="K579" s="1" t="s">
        <v>3394</v>
      </c>
      <c r="L579" s="5">
        <v>476.47</v>
      </c>
      <c r="M579" s="1" t="s">
        <v>2308</v>
      </c>
      <c r="N579" s="1" t="s">
        <v>3983</v>
      </c>
      <c r="O579" s="1" t="s">
        <v>2521</v>
      </c>
      <c r="P579" s="1" t="s">
        <v>3956</v>
      </c>
      <c r="Q579" s="1" t="s">
        <v>3325</v>
      </c>
      <c r="R579" s="1" t="s">
        <v>4056</v>
      </c>
      <c r="S579" s="1" t="s">
        <v>4937</v>
      </c>
      <c r="T579" s="6">
        <v>44593</v>
      </c>
      <c r="U579" s="6">
        <v>44599</v>
      </c>
      <c r="V579" s="7">
        <v>0.52569444444444446</v>
      </c>
      <c r="W579" s="6">
        <v>44602</v>
      </c>
      <c r="X579" s="7">
        <v>0.52569444444444446</v>
      </c>
      <c r="Y579" s="1" t="s">
        <v>4860</v>
      </c>
      <c r="Z579" s="5">
        <v>340</v>
      </c>
      <c r="AA579" s="1" t="s">
        <v>3403</v>
      </c>
      <c r="AB579" s="1"/>
      <c r="AC579" s="1"/>
      <c r="AD579" s="1"/>
      <c r="AE579" s="1" t="s">
        <v>3772</v>
      </c>
      <c r="AF579" s="1" t="s">
        <v>9</v>
      </c>
      <c r="AG579" s="1" t="s">
        <v>9</v>
      </c>
      <c r="AH579" s="6">
        <v>44613</v>
      </c>
      <c r="AI579" s="6">
        <v>44926</v>
      </c>
    </row>
    <row r="580" spans="1:35" x14ac:dyDescent="0.3">
      <c r="A580" s="1" t="s">
        <v>1639</v>
      </c>
      <c r="B580" s="2" t="str">
        <f>HYPERLINK("https://my.zakupki.prom.ua/remote/dispatcher/state_purchase_view/34687648")</f>
        <v>https://my.zakupki.prom.ua/remote/dispatcher/state_purchase_view/34687648</v>
      </c>
      <c r="C580" s="1" t="s">
        <v>3671</v>
      </c>
      <c r="D580" s="1" t="s">
        <v>512</v>
      </c>
      <c r="E580" s="4">
        <v>1790</v>
      </c>
      <c r="F580" s="5">
        <v>78.209999999999994</v>
      </c>
      <c r="G580" s="1" t="s">
        <v>4902</v>
      </c>
      <c r="H580" s="1" t="s">
        <v>178</v>
      </c>
      <c r="I580" s="1" t="s">
        <v>4007</v>
      </c>
      <c r="J580" s="5">
        <v>140000</v>
      </c>
      <c r="K580" s="1" t="s">
        <v>3394</v>
      </c>
      <c r="L580" s="5">
        <v>700</v>
      </c>
      <c r="M580" s="1" t="s">
        <v>2308</v>
      </c>
      <c r="N580" s="1" t="s">
        <v>3403</v>
      </c>
      <c r="O580" s="1" t="s">
        <v>2521</v>
      </c>
      <c r="P580" s="1" t="s">
        <v>3956</v>
      </c>
      <c r="Q580" s="1" t="s">
        <v>2528</v>
      </c>
      <c r="R580" s="1" t="s">
        <v>4112</v>
      </c>
      <c r="S580" s="1" t="s">
        <v>4937</v>
      </c>
      <c r="T580" s="6">
        <v>44593</v>
      </c>
      <c r="U580" s="6">
        <v>44599</v>
      </c>
      <c r="V580" s="7">
        <v>0</v>
      </c>
      <c r="W580" s="6">
        <v>44602</v>
      </c>
      <c r="X580" s="7">
        <v>0</v>
      </c>
      <c r="Y580" s="1" t="s">
        <v>4860</v>
      </c>
      <c r="Z580" s="5">
        <v>340</v>
      </c>
      <c r="AA580" s="1" t="s">
        <v>3403</v>
      </c>
      <c r="AB580" s="1"/>
      <c r="AC580" s="1"/>
      <c r="AD580" s="1"/>
      <c r="AE580" s="1" t="s">
        <v>3775</v>
      </c>
      <c r="AF580" s="1" t="s">
        <v>9</v>
      </c>
      <c r="AG580" s="4">
        <v>2</v>
      </c>
      <c r="AH580" s="1"/>
      <c r="AI580" s="6">
        <v>44926</v>
      </c>
    </row>
    <row r="581" spans="1:35" x14ac:dyDescent="0.3">
      <c r="A581" s="1" t="s">
        <v>2027</v>
      </c>
      <c r="B581" s="2" t="str">
        <f>HYPERLINK("https://my.zakupki.prom.ua/remote/dispatcher/state_purchase_view/34687627")</f>
        <v>https://my.zakupki.prom.ua/remote/dispatcher/state_purchase_view/34687627</v>
      </c>
      <c r="C581" s="1" t="s">
        <v>2775</v>
      </c>
      <c r="D581" s="1" t="s">
        <v>387</v>
      </c>
      <c r="E581" s="4">
        <v>195000</v>
      </c>
      <c r="F581" s="5">
        <v>6</v>
      </c>
      <c r="G581" s="1" t="s">
        <v>4879</v>
      </c>
      <c r="H581" s="1" t="s">
        <v>598</v>
      </c>
      <c r="I581" s="1" t="s">
        <v>3277</v>
      </c>
      <c r="J581" s="5">
        <v>1170000</v>
      </c>
      <c r="K581" s="1" t="s">
        <v>3394</v>
      </c>
      <c r="L581" s="5">
        <v>5850</v>
      </c>
      <c r="M581" s="1" t="s">
        <v>2308</v>
      </c>
      <c r="N581" s="1" t="s">
        <v>3983</v>
      </c>
      <c r="O581" s="1" t="s">
        <v>2521</v>
      </c>
      <c r="P581" s="1" t="s">
        <v>2515</v>
      </c>
      <c r="Q581" s="1" t="s">
        <v>2528</v>
      </c>
      <c r="R581" s="1" t="s">
        <v>4144</v>
      </c>
      <c r="S581" s="1" t="s">
        <v>4971</v>
      </c>
      <c r="T581" s="6">
        <v>44593</v>
      </c>
      <c r="U581" s="6">
        <v>44593</v>
      </c>
      <c r="V581" s="7">
        <v>0.5255473159953703</v>
      </c>
      <c r="W581" s="6">
        <v>44609</v>
      </c>
      <c r="X581" s="7">
        <v>0</v>
      </c>
      <c r="Y581" s="8">
        <v>44609.572789351849</v>
      </c>
      <c r="Z581" s="5">
        <v>1700</v>
      </c>
      <c r="AA581" s="1" t="s">
        <v>3403</v>
      </c>
      <c r="AB581" s="1"/>
      <c r="AC581" s="1"/>
      <c r="AD581" s="1"/>
      <c r="AE581" s="1" t="s">
        <v>3781</v>
      </c>
      <c r="AF581" s="1" t="s">
        <v>9</v>
      </c>
      <c r="AG581" s="4">
        <v>5</v>
      </c>
      <c r="AH581" s="1"/>
      <c r="AI581" s="6">
        <v>44926</v>
      </c>
    </row>
    <row r="582" spans="1:35" x14ac:dyDescent="0.3">
      <c r="A582" s="1" t="s">
        <v>1389</v>
      </c>
      <c r="B582" s="2" t="str">
        <f>HYPERLINK("https://my.zakupki.prom.ua/remote/dispatcher/state_purchase_view/34687593")</f>
        <v>https://my.zakupki.prom.ua/remote/dispatcher/state_purchase_view/34687593</v>
      </c>
      <c r="C582" s="1" t="s">
        <v>2775</v>
      </c>
      <c r="D582" s="1" t="s">
        <v>387</v>
      </c>
      <c r="E582" s="4">
        <v>28307</v>
      </c>
      <c r="F582" s="5">
        <v>7.03</v>
      </c>
      <c r="G582" s="1" t="s">
        <v>4879</v>
      </c>
      <c r="H582" s="1" t="s">
        <v>547</v>
      </c>
      <c r="I582" s="1" t="s">
        <v>3215</v>
      </c>
      <c r="J582" s="5">
        <v>199000</v>
      </c>
      <c r="K582" s="1" t="s">
        <v>3394</v>
      </c>
      <c r="L582" s="5">
        <v>995</v>
      </c>
      <c r="M582" s="1" t="s">
        <v>2308</v>
      </c>
      <c r="N582" s="1" t="s">
        <v>3983</v>
      </c>
      <c r="O582" s="1" t="s">
        <v>2521</v>
      </c>
      <c r="P582" s="1" t="s">
        <v>3956</v>
      </c>
      <c r="Q582" s="1" t="s">
        <v>2334</v>
      </c>
      <c r="R582" s="1" t="s">
        <v>4205</v>
      </c>
      <c r="S582" s="1" t="s">
        <v>4937</v>
      </c>
      <c r="T582" s="6">
        <v>44593</v>
      </c>
      <c r="U582" s="6">
        <v>44599</v>
      </c>
      <c r="V582" s="7">
        <v>0.52689814814814817</v>
      </c>
      <c r="W582" s="6">
        <v>44606</v>
      </c>
      <c r="X582" s="7">
        <v>0.52689814814814817</v>
      </c>
      <c r="Y582" s="1" t="s">
        <v>4860</v>
      </c>
      <c r="Z582" s="5">
        <v>340</v>
      </c>
      <c r="AA582" s="1" t="s">
        <v>3403</v>
      </c>
      <c r="AB582" s="1"/>
      <c r="AC582" s="1"/>
      <c r="AD582" s="1"/>
      <c r="AE582" s="1" t="s">
        <v>3768</v>
      </c>
      <c r="AF582" s="1" t="s">
        <v>9</v>
      </c>
      <c r="AG582" s="1" t="s">
        <v>9</v>
      </c>
      <c r="AH582" s="1"/>
      <c r="AI582" s="6">
        <v>44743</v>
      </c>
    </row>
    <row r="583" spans="1:35" x14ac:dyDescent="0.3">
      <c r="A583" s="1" t="s">
        <v>1386</v>
      </c>
      <c r="B583" s="2" t="str">
        <f>HYPERLINK("https://my.zakupki.prom.ua/remote/dispatcher/state_purchase_view/34687590")</f>
        <v>https://my.zakupki.prom.ua/remote/dispatcher/state_purchase_view/34687590</v>
      </c>
      <c r="C583" s="1" t="s">
        <v>3425</v>
      </c>
      <c r="D583" s="1" t="s">
        <v>462</v>
      </c>
      <c r="E583" s="1" t="s">
        <v>4903</v>
      </c>
      <c r="F583" s="1" t="s">
        <v>4903</v>
      </c>
      <c r="G583" s="1" t="s">
        <v>4903</v>
      </c>
      <c r="H583" s="1" t="s">
        <v>140</v>
      </c>
      <c r="I583" s="1" t="s">
        <v>4869</v>
      </c>
      <c r="J583" s="5">
        <v>1323720</v>
      </c>
      <c r="K583" s="1" t="s">
        <v>3394</v>
      </c>
      <c r="L583" s="5">
        <v>6619</v>
      </c>
      <c r="M583" s="1" t="s">
        <v>2308</v>
      </c>
      <c r="N583" s="1" t="s">
        <v>3983</v>
      </c>
      <c r="O583" s="1" t="s">
        <v>2521</v>
      </c>
      <c r="P583" s="1" t="s">
        <v>2515</v>
      </c>
      <c r="Q583" s="1" t="s">
        <v>2820</v>
      </c>
      <c r="R583" s="1" t="s">
        <v>4534</v>
      </c>
      <c r="S583" s="1" t="s">
        <v>4971</v>
      </c>
      <c r="T583" s="6">
        <v>44593</v>
      </c>
      <c r="U583" s="6">
        <v>44593</v>
      </c>
      <c r="V583" s="7">
        <v>0.51982106346064816</v>
      </c>
      <c r="W583" s="6">
        <v>44609</v>
      </c>
      <c r="X583" s="7">
        <v>0.52327546296296301</v>
      </c>
      <c r="Y583" s="8">
        <v>44610.526875000003</v>
      </c>
      <c r="Z583" s="5">
        <v>1700</v>
      </c>
      <c r="AA583" s="1" t="s">
        <v>3403</v>
      </c>
      <c r="AB583" s="1"/>
      <c r="AC583" s="1"/>
      <c r="AD583" s="1"/>
      <c r="AE583" s="1" t="s">
        <v>3774</v>
      </c>
      <c r="AF583" s="1" t="s">
        <v>9</v>
      </c>
      <c r="AG583" s="4">
        <v>44</v>
      </c>
      <c r="AH583" s="1"/>
      <c r="AI583" s="6">
        <v>44926</v>
      </c>
    </row>
    <row r="584" spans="1:35" x14ac:dyDescent="0.3">
      <c r="A584" s="1" t="s">
        <v>2036</v>
      </c>
      <c r="B584" s="2" t="str">
        <f>HYPERLINK("https://my.zakupki.prom.ua/remote/dispatcher/state_purchase_view/34687556")</f>
        <v>https://my.zakupki.prom.ua/remote/dispatcher/state_purchase_view/34687556</v>
      </c>
      <c r="C584" s="1" t="s">
        <v>1265</v>
      </c>
      <c r="D584" s="1" t="s">
        <v>1264</v>
      </c>
      <c r="E584" s="1" t="s">
        <v>4903</v>
      </c>
      <c r="F584" s="1" t="s">
        <v>4903</v>
      </c>
      <c r="G584" s="1" t="s">
        <v>4903</v>
      </c>
      <c r="H584" s="1" t="s">
        <v>364</v>
      </c>
      <c r="I584" s="1" t="s">
        <v>2728</v>
      </c>
      <c r="J584" s="5">
        <v>4171.25</v>
      </c>
      <c r="K584" s="1" t="s">
        <v>3394</v>
      </c>
      <c r="L584" s="5">
        <v>20.86</v>
      </c>
      <c r="M584" s="1" t="s">
        <v>2308</v>
      </c>
      <c r="N584" s="1" t="s">
        <v>3983</v>
      </c>
      <c r="O584" s="1" t="s">
        <v>2521</v>
      </c>
      <c r="P584" s="1" t="s">
        <v>3956</v>
      </c>
      <c r="Q584" s="1" t="s">
        <v>3262</v>
      </c>
      <c r="R584" s="1" t="s">
        <v>4321</v>
      </c>
      <c r="S584" s="1" t="s">
        <v>4937</v>
      </c>
      <c r="T584" s="6">
        <v>44593</v>
      </c>
      <c r="U584" s="6">
        <v>44600</v>
      </c>
      <c r="V584" s="7">
        <v>0.45833333333333331</v>
      </c>
      <c r="W584" s="6">
        <v>44603</v>
      </c>
      <c r="X584" s="7">
        <v>0.45833333333333331</v>
      </c>
      <c r="Y584" s="1" t="s">
        <v>4860</v>
      </c>
      <c r="Z584" s="5">
        <v>17</v>
      </c>
      <c r="AA584" s="1" t="s">
        <v>3403</v>
      </c>
      <c r="AB584" s="1"/>
      <c r="AC584" s="1"/>
      <c r="AD584" s="1"/>
      <c r="AE584" s="1" t="s">
        <v>3728</v>
      </c>
      <c r="AF584" s="1" t="s">
        <v>9</v>
      </c>
      <c r="AG584" s="1" t="s">
        <v>9</v>
      </c>
      <c r="AH584" s="1"/>
      <c r="AI584" s="6">
        <v>44926</v>
      </c>
    </row>
    <row r="585" spans="1:35" x14ac:dyDescent="0.3">
      <c r="A585" s="1" t="s">
        <v>2035</v>
      </c>
      <c r="B585" s="2" t="str">
        <f>HYPERLINK("https://my.zakupki.prom.ua/remote/dispatcher/state_purchase_view/34687551")</f>
        <v>https://my.zakupki.prom.ua/remote/dispatcher/state_purchase_view/34687551</v>
      </c>
      <c r="C585" s="1" t="s">
        <v>3211</v>
      </c>
      <c r="D585" s="1" t="s">
        <v>456</v>
      </c>
      <c r="E585" s="4">
        <v>1260</v>
      </c>
      <c r="F585" s="5">
        <v>114.7</v>
      </c>
      <c r="G585" s="1" t="s">
        <v>4901</v>
      </c>
      <c r="H585" s="1" t="s">
        <v>191</v>
      </c>
      <c r="I585" s="1" t="s">
        <v>3208</v>
      </c>
      <c r="J585" s="5">
        <v>144522</v>
      </c>
      <c r="K585" s="1" t="s">
        <v>3394</v>
      </c>
      <c r="L585" s="5">
        <v>722.61</v>
      </c>
      <c r="M585" s="1" t="s">
        <v>2308</v>
      </c>
      <c r="N585" s="1" t="s">
        <v>3983</v>
      </c>
      <c r="O585" s="1" t="s">
        <v>2521</v>
      </c>
      <c r="P585" s="1" t="s">
        <v>3956</v>
      </c>
      <c r="Q585" s="1" t="s">
        <v>4798</v>
      </c>
      <c r="R585" s="1" t="s">
        <v>4678</v>
      </c>
      <c r="S585" s="1" t="s">
        <v>4937</v>
      </c>
      <c r="T585" s="6">
        <v>44593</v>
      </c>
      <c r="U585" s="6">
        <v>44600</v>
      </c>
      <c r="V585" s="7">
        <v>0.52777777777777779</v>
      </c>
      <c r="W585" s="6">
        <v>44603</v>
      </c>
      <c r="X585" s="7">
        <v>0.52847222222222223</v>
      </c>
      <c r="Y585" s="1" t="s">
        <v>4860</v>
      </c>
      <c r="Z585" s="5">
        <v>340</v>
      </c>
      <c r="AA585" s="1" t="s">
        <v>3403</v>
      </c>
      <c r="AB585" s="1"/>
      <c r="AC585" s="1"/>
      <c r="AD585" s="1"/>
      <c r="AE585" s="1" t="s">
        <v>3767</v>
      </c>
      <c r="AF585" s="1" t="s">
        <v>9</v>
      </c>
      <c r="AG585" s="4">
        <v>31</v>
      </c>
      <c r="AH585" s="1"/>
      <c r="AI585" s="6">
        <v>44926</v>
      </c>
    </row>
    <row r="586" spans="1:35" x14ac:dyDescent="0.3">
      <c r="A586" s="1" t="s">
        <v>2034</v>
      </c>
      <c r="B586" s="2" t="str">
        <f>HYPERLINK("https://my.zakupki.prom.ua/remote/dispatcher/state_purchase_view/34687546")</f>
        <v>https://my.zakupki.prom.ua/remote/dispatcher/state_purchase_view/34687546</v>
      </c>
      <c r="C586" s="1" t="s">
        <v>3569</v>
      </c>
      <c r="D586" s="1" t="s">
        <v>1168</v>
      </c>
      <c r="E586" s="1" t="s">
        <v>4903</v>
      </c>
      <c r="F586" s="1" t="s">
        <v>4903</v>
      </c>
      <c r="G586" s="1" t="s">
        <v>4903</v>
      </c>
      <c r="H586" s="1" t="s">
        <v>18</v>
      </c>
      <c r="I586" s="1" t="s">
        <v>3080</v>
      </c>
      <c r="J586" s="5">
        <v>360600</v>
      </c>
      <c r="K586" s="1" t="s">
        <v>3394</v>
      </c>
      <c r="L586" s="5">
        <v>1803</v>
      </c>
      <c r="M586" s="1" t="s">
        <v>2308</v>
      </c>
      <c r="N586" s="1" t="s">
        <v>3983</v>
      </c>
      <c r="O586" s="1" t="s">
        <v>2521</v>
      </c>
      <c r="P586" s="1" t="s">
        <v>3956</v>
      </c>
      <c r="Q586" s="1" t="s">
        <v>2761</v>
      </c>
      <c r="R586" s="1" t="s">
        <v>4081</v>
      </c>
      <c r="S586" s="1" t="s">
        <v>4937</v>
      </c>
      <c r="T586" s="6">
        <v>44593</v>
      </c>
      <c r="U586" s="6">
        <v>44600</v>
      </c>
      <c r="V586" s="7">
        <v>0.51458333333333328</v>
      </c>
      <c r="W586" s="6">
        <v>44603</v>
      </c>
      <c r="X586" s="7">
        <v>0</v>
      </c>
      <c r="Y586" s="1" t="s">
        <v>4860</v>
      </c>
      <c r="Z586" s="5">
        <v>510</v>
      </c>
      <c r="AA586" s="1" t="s">
        <v>3403</v>
      </c>
      <c r="AB586" s="1"/>
      <c r="AC586" s="1"/>
      <c r="AD586" s="1"/>
      <c r="AE586" s="1" t="s">
        <v>3754</v>
      </c>
      <c r="AF586" s="1" t="s">
        <v>9</v>
      </c>
      <c r="AG586" s="4">
        <v>2</v>
      </c>
      <c r="AH586" s="1"/>
      <c r="AI586" s="6">
        <v>44926</v>
      </c>
    </row>
    <row r="587" spans="1:35" x14ac:dyDescent="0.3">
      <c r="A587" s="1" t="s">
        <v>2033</v>
      </c>
      <c r="B587" s="2" t="str">
        <f>HYPERLINK("https://my.zakupki.prom.ua/remote/dispatcher/state_purchase_view/34687511")</f>
        <v>https://my.zakupki.prom.ua/remote/dispatcher/state_purchase_view/34687511</v>
      </c>
      <c r="C587" s="1" t="s">
        <v>3230</v>
      </c>
      <c r="D587" s="1" t="s">
        <v>1127</v>
      </c>
      <c r="E587" s="1" t="s">
        <v>4903</v>
      </c>
      <c r="F587" s="1" t="s">
        <v>4903</v>
      </c>
      <c r="G587" s="1" t="s">
        <v>4903</v>
      </c>
      <c r="H587" s="1" t="s">
        <v>261</v>
      </c>
      <c r="I587" s="1" t="s">
        <v>2952</v>
      </c>
      <c r="J587" s="5">
        <v>3750000</v>
      </c>
      <c r="K587" s="1" t="s">
        <v>3394</v>
      </c>
      <c r="L587" s="5">
        <v>18750</v>
      </c>
      <c r="M587" s="1" t="s">
        <v>2308</v>
      </c>
      <c r="N587" s="1" t="s">
        <v>3983</v>
      </c>
      <c r="O587" s="1" t="s">
        <v>392</v>
      </c>
      <c r="P587" s="1" t="s">
        <v>2515</v>
      </c>
      <c r="Q587" s="1" t="s">
        <v>4794</v>
      </c>
      <c r="R587" s="1" t="s">
        <v>4224</v>
      </c>
      <c r="S587" s="1" t="s">
        <v>4971</v>
      </c>
      <c r="T587" s="6">
        <v>44593</v>
      </c>
      <c r="U587" s="6">
        <v>44593</v>
      </c>
      <c r="V587" s="7">
        <v>0.52794451253472219</v>
      </c>
      <c r="W587" s="6">
        <v>44609</v>
      </c>
      <c r="X587" s="7">
        <v>0.41666666666666669</v>
      </c>
      <c r="Y587" s="8">
        <v>44610.547534722224</v>
      </c>
      <c r="Z587" s="5">
        <v>1700</v>
      </c>
      <c r="AA587" s="1" t="s">
        <v>3403</v>
      </c>
      <c r="AB587" s="1"/>
      <c r="AC587" s="1"/>
      <c r="AD587" s="1"/>
      <c r="AE587" s="1" t="s">
        <v>3770</v>
      </c>
      <c r="AF587" s="1" t="s">
        <v>9</v>
      </c>
      <c r="AG587" s="4">
        <v>20</v>
      </c>
      <c r="AH587" s="1"/>
      <c r="AI587" s="6">
        <v>44680</v>
      </c>
    </row>
    <row r="588" spans="1:35" x14ac:dyDescent="0.3">
      <c r="A588" s="1" t="s">
        <v>2032</v>
      </c>
      <c r="B588" s="2" t="str">
        <f>HYPERLINK("https://my.zakupki.prom.ua/remote/dispatcher/state_purchase_view/34687478")</f>
        <v>https://my.zakupki.prom.ua/remote/dispatcher/state_purchase_view/34687478</v>
      </c>
      <c r="C588" s="1" t="s">
        <v>3340</v>
      </c>
      <c r="D588" s="1" t="s">
        <v>471</v>
      </c>
      <c r="E588" s="1" t="s">
        <v>4903</v>
      </c>
      <c r="F588" s="1" t="s">
        <v>4903</v>
      </c>
      <c r="G588" s="1" t="s">
        <v>4903</v>
      </c>
      <c r="H588" s="1" t="s">
        <v>1077</v>
      </c>
      <c r="I588" s="1" t="s">
        <v>2442</v>
      </c>
      <c r="J588" s="5">
        <v>60000</v>
      </c>
      <c r="K588" s="1" t="s">
        <v>3394</v>
      </c>
      <c r="L588" s="5">
        <v>300</v>
      </c>
      <c r="M588" s="1" t="s">
        <v>2308</v>
      </c>
      <c r="N588" s="1" t="s">
        <v>3983</v>
      </c>
      <c r="O588" s="1" t="s">
        <v>2521</v>
      </c>
      <c r="P588" s="1" t="s">
        <v>3956</v>
      </c>
      <c r="Q588" s="1" t="s">
        <v>2808</v>
      </c>
      <c r="R588" s="1" t="s">
        <v>4211</v>
      </c>
      <c r="S588" s="1" t="s">
        <v>4937</v>
      </c>
      <c r="T588" s="6">
        <v>44593</v>
      </c>
      <c r="U588" s="6">
        <v>44599</v>
      </c>
      <c r="V588" s="7">
        <v>0</v>
      </c>
      <c r="W588" s="6">
        <v>44602</v>
      </c>
      <c r="X588" s="7">
        <v>0</v>
      </c>
      <c r="Y588" s="1" t="s">
        <v>4860</v>
      </c>
      <c r="Z588" s="5">
        <v>340</v>
      </c>
      <c r="AA588" s="1" t="s">
        <v>3403</v>
      </c>
      <c r="AB588" s="1"/>
      <c r="AC588" s="1"/>
      <c r="AD588" s="1"/>
      <c r="AE588" s="1" t="s">
        <v>3768</v>
      </c>
      <c r="AF588" s="1" t="s">
        <v>9</v>
      </c>
      <c r="AG588" s="4">
        <v>1</v>
      </c>
      <c r="AH588" s="1"/>
      <c r="AI588" s="6">
        <v>44926</v>
      </c>
    </row>
    <row r="589" spans="1:35" x14ac:dyDescent="0.3">
      <c r="A589" s="1" t="s">
        <v>2031</v>
      </c>
      <c r="B589" s="2" t="str">
        <f>HYPERLINK("https://my.zakupki.prom.ua/remote/dispatcher/state_purchase_view/34687335")</f>
        <v>https://my.zakupki.prom.ua/remote/dispatcher/state_purchase_view/34687335</v>
      </c>
      <c r="C589" s="1" t="s">
        <v>3382</v>
      </c>
      <c r="D589" s="1" t="s">
        <v>373</v>
      </c>
      <c r="E589" s="1" t="s">
        <v>4903</v>
      </c>
      <c r="F589" s="1" t="s">
        <v>4903</v>
      </c>
      <c r="G589" s="1" t="s">
        <v>4903</v>
      </c>
      <c r="H589" s="1" t="s">
        <v>73</v>
      </c>
      <c r="I589" s="1" t="s">
        <v>3118</v>
      </c>
      <c r="J589" s="5">
        <v>62000</v>
      </c>
      <c r="K589" s="1" t="s">
        <v>3394</v>
      </c>
      <c r="L589" s="5">
        <v>310</v>
      </c>
      <c r="M589" s="1" t="s">
        <v>2308</v>
      </c>
      <c r="N589" s="1" t="s">
        <v>3983</v>
      </c>
      <c r="O589" s="1" t="s">
        <v>2521</v>
      </c>
      <c r="P589" s="1" t="s">
        <v>3956</v>
      </c>
      <c r="Q589" s="1" t="s">
        <v>2796</v>
      </c>
      <c r="R589" s="1" t="s">
        <v>4143</v>
      </c>
      <c r="S589" s="1" t="s">
        <v>4937</v>
      </c>
      <c r="T589" s="6">
        <v>44593</v>
      </c>
      <c r="U589" s="6">
        <v>44599</v>
      </c>
      <c r="V589" s="7">
        <v>0.52083333333333337</v>
      </c>
      <c r="W589" s="6">
        <v>44602</v>
      </c>
      <c r="X589" s="7">
        <v>0.52083333333333337</v>
      </c>
      <c r="Y589" s="1" t="s">
        <v>4860</v>
      </c>
      <c r="Z589" s="5">
        <v>340</v>
      </c>
      <c r="AA589" s="1" t="s">
        <v>3403</v>
      </c>
      <c r="AB589" s="1"/>
      <c r="AC589" s="1"/>
      <c r="AD589" s="1"/>
      <c r="AE589" s="1" t="s">
        <v>3782</v>
      </c>
      <c r="AF589" s="1" t="s">
        <v>9</v>
      </c>
      <c r="AG589" s="1" t="s">
        <v>9</v>
      </c>
      <c r="AH589" s="6">
        <v>44593</v>
      </c>
      <c r="AI589" s="6">
        <v>44620</v>
      </c>
    </row>
    <row r="590" spans="1:35" x14ac:dyDescent="0.3">
      <c r="A590" s="1" t="s">
        <v>2030</v>
      </c>
      <c r="B590" s="2" t="str">
        <f>HYPERLINK("https://my.zakupki.prom.ua/remote/dispatcher/state_purchase_view/34687318")</f>
        <v>https://my.zakupki.prom.ua/remote/dispatcher/state_purchase_view/34687318</v>
      </c>
      <c r="C590" s="1" t="s">
        <v>3254</v>
      </c>
      <c r="D590" s="1" t="s">
        <v>441</v>
      </c>
      <c r="E590" s="1" t="s">
        <v>4903</v>
      </c>
      <c r="F590" s="1" t="s">
        <v>4903</v>
      </c>
      <c r="G590" s="1" t="s">
        <v>4903</v>
      </c>
      <c r="H590" s="1" t="s">
        <v>768</v>
      </c>
      <c r="I590" s="1" t="s">
        <v>2963</v>
      </c>
      <c r="J590" s="5">
        <v>81300</v>
      </c>
      <c r="K590" s="1" t="s">
        <v>3394</v>
      </c>
      <c r="L590" s="5">
        <v>406.5</v>
      </c>
      <c r="M590" s="1" t="s">
        <v>2308</v>
      </c>
      <c r="N590" s="1" t="s">
        <v>3983</v>
      </c>
      <c r="O590" s="1" t="s">
        <v>2521</v>
      </c>
      <c r="P590" s="1" t="s">
        <v>3956</v>
      </c>
      <c r="Q590" s="1" t="s">
        <v>3970</v>
      </c>
      <c r="R590" s="1" t="s">
        <v>4081</v>
      </c>
      <c r="S590" s="1" t="s">
        <v>4937</v>
      </c>
      <c r="T590" s="6">
        <v>44593</v>
      </c>
      <c r="U590" s="6">
        <v>44599</v>
      </c>
      <c r="V590" s="7">
        <v>0</v>
      </c>
      <c r="W590" s="6">
        <v>44602</v>
      </c>
      <c r="X590" s="7">
        <v>0.33333333333333331</v>
      </c>
      <c r="Y590" s="1" t="s">
        <v>4860</v>
      </c>
      <c r="Z590" s="5">
        <v>340</v>
      </c>
      <c r="AA590" s="1" t="s">
        <v>3403</v>
      </c>
      <c r="AB590" s="1"/>
      <c r="AC590" s="1"/>
      <c r="AD590" s="1"/>
      <c r="AE590" s="1" t="s">
        <v>3801</v>
      </c>
      <c r="AF590" s="1" t="s">
        <v>9</v>
      </c>
      <c r="AG590" s="1" t="s">
        <v>9</v>
      </c>
      <c r="AH590" s="1"/>
      <c r="AI590" s="6">
        <v>44926</v>
      </c>
    </row>
    <row r="591" spans="1:35" x14ac:dyDescent="0.3">
      <c r="A591" s="1" t="s">
        <v>2029</v>
      </c>
      <c r="B591" s="2" t="str">
        <f>HYPERLINK("https://my.zakupki.prom.ua/remote/dispatcher/state_purchase_view/34687313")</f>
        <v>https://my.zakupki.prom.ua/remote/dispatcher/state_purchase_view/34687313</v>
      </c>
      <c r="C591" s="1" t="s">
        <v>2627</v>
      </c>
      <c r="D591" s="1" t="s">
        <v>1147</v>
      </c>
      <c r="E591" s="4">
        <v>272</v>
      </c>
      <c r="F591" s="5">
        <v>549.63</v>
      </c>
      <c r="G591" s="1" t="s">
        <v>4873</v>
      </c>
      <c r="H591" s="1" t="s">
        <v>1076</v>
      </c>
      <c r="I591" s="1" t="s">
        <v>4025</v>
      </c>
      <c r="J591" s="5">
        <v>149500</v>
      </c>
      <c r="K591" s="1" t="s">
        <v>3394</v>
      </c>
      <c r="L591" s="5">
        <v>1495</v>
      </c>
      <c r="M591" s="1" t="s">
        <v>2308</v>
      </c>
      <c r="N591" s="1" t="s">
        <v>3983</v>
      </c>
      <c r="O591" s="1" t="s">
        <v>2521</v>
      </c>
      <c r="P591" s="1" t="s">
        <v>3956</v>
      </c>
      <c r="Q591" s="1" t="s">
        <v>2528</v>
      </c>
      <c r="R591" s="1" t="s">
        <v>4081</v>
      </c>
      <c r="S591" s="1" t="s">
        <v>4937</v>
      </c>
      <c r="T591" s="6">
        <v>44593</v>
      </c>
      <c r="U591" s="6">
        <v>44599</v>
      </c>
      <c r="V591" s="7">
        <v>0</v>
      </c>
      <c r="W591" s="6">
        <v>44602</v>
      </c>
      <c r="X591" s="7">
        <v>0</v>
      </c>
      <c r="Y591" s="1" t="s">
        <v>4860</v>
      </c>
      <c r="Z591" s="5">
        <v>340</v>
      </c>
      <c r="AA591" s="1" t="s">
        <v>3403</v>
      </c>
      <c r="AB591" s="1"/>
      <c r="AC591" s="1"/>
      <c r="AD591" s="1"/>
      <c r="AE591" s="1" t="s">
        <v>3736</v>
      </c>
      <c r="AF591" s="1" t="s">
        <v>9</v>
      </c>
      <c r="AG591" s="4">
        <v>2</v>
      </c>
      <c r="AH591" s="1"/>
      <c r="AI591" s="6">
        <v>44926</v>
      </c>
    </row>
    <row r="592" spans="1:35" x14ac:dyDescent="0.3">
      <c r="A592" s="1" t="s">
        <v>2028</v>
      </c>
      <c r="B592" s="2" t="str">
        <f>HYPERLINK("https://my.zakupki.prom.ua/remote/dispatcher/state_purchase_view/34687286")</f>
        <v>https://my.zakupki.prom.ua/remote/dispatcher/state_purchase_view/34687286</v>
      </c>
      <c r="C592" s="1" t="s">
        <v>3641</v>
      </c>
      <c r="D592" s="1" t="s">
        <v>1156</v>
      </c>
      <c r="E592" s="4">
        <v>1</v>
      </c>
      <c r="F592" s="5">
        <v>671129</v>
      </c>
      <c r="G592" s="1" t="s">
        <v>4940</v>
      </c>
      <c r="H592" s="1" t="s">
        <v>405</v>
      </c>
      <c r="I592" s="1" t="s">
        <v>2927</v>
      </c>
      <c r="J592" s="5">
        <v>671129</v>
      </c>
      <c r="K592" s="1" t="s">
        <v>3394</v>
      </c>
      <c r="L592" s="5">
        <v>3355.65</v>
      </c>
      <c r="M592" s="1" t="s">
        <v>2308</v>
      </c>
      <c r="N592" s="1" t="s">
        <v>3983</v>
      </c>
      <c r="O592" s="1" t="s">
        <v>2521</v>
      </c>
      <c r="P592" s="1" t="s">
        <v>2515</v>
      </c>
      <c r="Q592" s="1" t="s">
        <v>2761</v>
      </c>
      <c r="R592" s="1" t="s">
        <v>4081</v>
      </c>
      <c r="S592" s="1" t="s">
        <v>4971</v>
      </c>
      <c r="T592" s="6">
        <v>44593</v>
      </c>
      <c r="U592" s="6">
        <v>44593</v>
      </c>
      <c r="V592" s="7">
        <v>0.52604095585648147</v>
      </c>
      <c r="W592" s="6">
        <v>44609</v>
      </c>
      <c r="X592" s="7">
        <v>0</v>
      </c>
      <c r="Y592" s="8">
        <v>44609.611689814818</v>
      </c>
      <c r="Z592" s="5">
        <v>510</v>
      </c>
      <c r="AA592" s="1" t="s">
        <v>3403</v>
      </c>
      <c r="AB592" s="1"/>
      <c r="AC592" s="1"/>
      <c r="AD592" s="1"/>
      <c r="AE592" s="1" t="s">
        <v>3732</v>
      </c>
      <c r="AF592" s="1" t="s">
        <v>9</v>
      </c>
      <c r="AG592" s="4">
        <v>3</v>
      </c>
      <c r="AH592" s="1"/>
      <c r="AI592" s="6">
        <v>44926</v>
      </c>
    </row>
    <row r="593" spans="1:35" x14ac:dyDescent="0.3">
      <c r="A593" s="1" t="s">
        <v>1637</v>
      </c>
      <c r="B593" s="2" t="str">
        <f>HYPERLINK("https://my.zakupki.prom.ua/remote/dispatcher/state_purchase_view/34687237")</f>
        <v>https://my.zakupki.prom.ua/remote/dispatcher/state_purchase_view/34687237</v>
      </c>
      <c r="C593" s="1" t="s">
        <v>3937</v>
      </c>
      <c r="D593" s="1" t="s">
        <v>459</v>
      </c>
      <c r="E593" s="1" t="s">
        <v>4903</v>
      </c>
      <c r="F593" s="1" t="s">
        <v>4903</v>
      </c>
      <c r="G593" s="1" t="s">
        <v>4903</v>
      </c>
      <c r="H593" s="1" t="s">
        <v>674</v>
      </c>
      <c r="I593" s="1" t="s">
        <v>3396</v>
      </c>
      <c r="J593" s="5">
        <v>353000</v>
      </c>
      <c r="K593" s="1" t="s">
        <v>3394</v>
      </c>
      <c r="L593" s="5">
        <v>3530</v>
      </c>
      <c r="M593" s="1" t="s">
        <v>2308</v>
      </c>
      <c r="N593" s="1" t="s">
        <v>3983</v>
      </c>
      <c r="O593" s="1" t="s">
        <v>2521</v>
      </c>
      <c r="P593" s="1" t="s">
        <v>2515</v>
      </c>
      <c r="Q593" s="1" t="s">
        <v>3035</v>
      </c>
      <c r="R593" s="1" t="s">
        <v>4159</v>
      </c>
      <c r="S593" s="1" t="s">
        <v>4971</v>
      </c>
      <c r="T593" s="6">
        <v>44593</v>
      </c>
      <c r="U593" s="6">
        <v>44593</v>
      </c>
      <c r="V593" s="7">
        <v>0.52426747545138896</v>
      </c>
      <c r="W593" s="6">
        <v>44609</v>
      </c>
      <c r="X593" s="7">
        <v>0</v>
      </c>
      <c r="Y593" s="8">
        <v>44609.58935185185</v>
      </c>
      <c r="Z593" s="5">
        <v>510</v>
      </c>
      <c r="AA593" s="1" t="s">
        <v>3403</v>
      </c>
      <c r="AB593" s="1"/>
      <c r="AC593" s="1"/>
      <c r="AD593" s="1"/>
      <c r="AE593" s="1" t="s">
        <v>3788</v>
      </c>
      <c r="AF593" s="1" t="s">
        <v>9</v>
      </c>
      <c r="AG593" s="4">
        <v>13</v>
      </c>
      <c r="AH593" s="1"/>
      <c r="AI593" s="6">
        <v>44921</v>
      </c>
    </row>
    <row r="594" spans="1:35" x14ac:dyDescent="0.3">
      <c r="A594" s="1" t="s">
        <v>1634</v>
      </c>
      <c r="B594" s="2" t="str">
        <f>HYPERLINK("https://my.zakupki.prom.ua/remote/dispatcher/state_purchase_view/34687231")</f>
        <v>https://my.zakupki.prom.ua/remote/dispatcher/state_purchase_view/34687231</v>
      </c>
      <c r="C594" s="1" t="s">
        <v>3611</v>
      </c>
      <c r="D594" s="1" t="s">
        <v>1231</v>
      </c>
      <c r="E594" s="4">
        <v>12</v>
      </c>
      <c r="F594" s="5">
        <v>666.67</v>
      </c>
      <c r="G594" s="1" t="s">
        <v>4940</v>
      </c>
      <c r="H594" s="1" t="s">
        <v>31</v>
      </c>
      <c r="I594" s="1" t="s">
        <v>2519</v>
      </c>
      <c r="J594" s="5">
        <v>8000</v>
      </c>
      <c r="K594" s="1" t="s">
        <v>3394</v>
      </c>
      <c r="L594" s="5">
        <v>40</v>
      </c>
      <c r="M594" s="1" t="s">
        <v>2308</v>
      </c>
      <c r="N594" s="1" t="s">
        <v>3983</v>
      </c>
      <c r="O594" s="1" t="s">
        <v>2521</v>
      </c>
      <c r="P594" s="1" t="s">
        <v>3956</v>
      </c>
      <c r="Q594" s="1" t="s">
        <v>2528</v>
      </c>
      <c r="R594" s="1" t="s">
        <v>4064</v>
      </c>
      <c r="S594" s="1" t="s">
        <v>4937</v>
      </c>
      <c r="T594" s="6">
        <v>44593</v>
      </c>
      <c r="U594" s="6">
        <v>44599</v>
      </c>
      <c r="V594" s="7">
        <v>0</v>
      </c>
      <c r="W594" s="6">
        <v>44602</v>
      </c>
      <c r="X594" s="7">
        <v>0</v>
      </c>
      <c r="Y594" s="1" t="s">
        <v>4860</v>
      </c>
      <c r="Z594" s="5">
        <v>17</v>
      </c>
      <c r="AA594" s="1" t="s">
        <v>3403</v>
      </c>
      <c r="AB594" s="1"/>
      <c r="AC594" s="1"/>
      <c r="AD594" s="1"/>
      <c r="AE594" s="1" t="s">
        <v>3737</v>
      </c>
      <c r="AF594" s="1" t="s">
        <v>9</v>
      </c>
      <c r="AG594" s="1" t="s">
        <v>9</v>
      </c>
      <c r="AH594" s="1"/>
      <c r="AI594" s="6">
        <v>44926</v>
      </c>
    </row>
    <row r="595" spans="1:35" x14ac:dyDescent="0.3">
      <c r="A595" s="1" t="s">
        <v>1388</v>
      </c>
      <c r="B595" s="2" t="str">
        <f>HYPERLINK("https://my.zakupki.prom.ua/remote/dispatcher/state_purchase_view/34687219")</f>
        <v>https://my.zakupki.prom.ua/remote/dispatcher/state_purchase_view/34687219</v>
      </c>
      <c r="C595" s="1" t="s">
        <v>3417</v>
      </c>
      <c r="D595" s="1" t="s">
        <v>213</v>
      </c>
      <c r="E595" s="4">
        <v>9</v>
      </c>
      <c r="F595" s="5">
        <v>9222.2199999999993</v>
      </c>
      <c r="G595" s="1" t="s">
        <v>4924</v>
      </c>
      <c r="H595" s="1" t="s">
        <v>630</v>
      </c>
      <c r="I595" s="1" t="s">
        <v>3198</v>
      </c>
      <c r="J595" s="5">
        <v>83000</v>
      </c>
      <c r="K595" s="1" t="s">
        <v>3394</v>
      </c>
      <c r="L595" s="5">
        <v>415</v>
      </c>
      <c r="M595" s="1" t="s">
        <v>2308</v>
      </c>
      <c r="N595" s="1" t="s">
        <v>3983</v>
      </c>
      <c r="O595" s="1" t="s">
        <v>2521</v>
      </c>
      <c r="P595" s="1" t="s">
        <v>3956</v>
      </c>
      <c r="Q595" s="1" t="s">
        <v>2528</v>
      </c>
      <c r="R595" s="1" t="s">
        <v>4341</v>
      </c>
      <c r="S595" s="1" t="s">
        <v>4937</v>
      </c>
      <c r="T595" s="6">
        <v>44593</v>
      </c>
      <c r="U595" s="6">
        <v>44599</v>
      </c>
      <c r="V595" s="7">
        <v>0.375</v>
      </c>
      <c r="W595" s="6">
        <v>44602</v>
      </c>
      <c r="X595" s="7">
        <v>0.375</v>
      </c>
      <c r="Y595" s="1" t="s">
        <v>4860</v>
      </c>
      <c r="Z595" s="5">
        <v>340</v>
      </c>
      <c r="AA595" s="1" t="s">
        <v>3403</v>
      </c>
      <c r="AB595" s="1"/>
      <c r="AC595" s="1"/>
      <c r="AD595" s="1"/>
      <c r="AE595" s="1" t="s">
        <v>3771</v>
      </c>
      <c r="AF595" s="1" t="s">
        <v>9</v>
      </c>
      <c r="AG595" s="4">
        <v>2</v>
      </c>
      <c r="AH595" s="1"/>
      <c r="AI595" s="6">
        <v>44712</v>
      </c>
    </row>
    <row r="596" spans="1:35" x14ac:dyDescent="0.3">
      <c r="A596" s="1" t="s">
        <v>1372</v>
      </c>
      <c r="B596" s="2" t="str">
        <f>HYPERLINK("https://my.zakupki.prom.ua/remote/dispatcher/state_purchase_lot_view/740705")</f>
        <v>https://my.zakupki.prom.ua/remote/dispatcher/state_purchase_lot_view/740705</v>
      </c>
      <c r="C596" s="1" t="s">
        <v>3255</v>
      </c>
      <c r="D596" s="1" t="s">
        <v>789</v>
      </c>
      <c r="E596" s="1" t="s">
        <v>4903</v>
      </c>
      <c r="F596" s="1" t="s">
        <v>4903</v>
      </c>
      <c r="G596" s="1" t="s">
        <v>4903</v>
      </c>
      <c r="H596" s="1" t="s">
        <v>992</v>
      </c>
      <c r="I596" s="1" t="s">
        <v>2993</v>
      </c>
      <c r="J596" s="5">
        <v>10000</v>
      </c>
      <c r="K596" s="5">
        <v>10000</v>
      </c>
      <c r="L596" s="5">
        <v>50</v>
      </c>
      <c r="M596" s="1" t="s">
        <v>2308</v>
      </c>
      <c r="N596" s="1" t="s">
        <v>3983</v>
      </c>
      <c r="O596" s="1" t="s">
        <v>2521</v>
      </c>
      <c r="P596" s="1" t="s">
        <v>2515</v>
      </c>
      <c r="Q596" s="1" t="s">
        <v>2528</v>
      </c>
      <c r="R596" s="1" t="s">
        <v>4479</v>
      </c>
      <c r="S596" s="1" t="s">
        <v>4971</v>
      </c>
      <c r="T596" s="6">
        <v>44593</v>
      </c>
      <c r="U596" s="6">
        <v>44593</v>
      </c>
      <c r="V596" s="7">
        <v>0.44096851847222224</v>
      </c>
      <c r="W596" s="6">
        <v>44609</v>
      </c>
      <c r="X596" s="7">
        <v>0</v>
      </c>
      <c r="Y596" s="8">
        <v>44609.52783564815</v>
      </c>
      <c r="Z596" s="5">
        <v>17</v>
      </c>
      <c r="AA596" s="1" t="s">
        <v>3403</v>
      </c>
      <c r="AB596" s="1"/>
      <c r="AC596" s="1"/>
      <c r="AD596" s="1"/>
      <c r="AE596" s="1" t="s">
        <v>3788</v>
      </c>
      <c r="AF596" s="1" t="s">
        <v>9</v>
      </c>
      <c r="AG596" s="1" t="s">
        <v>9</v>
      </c>
      <c r="AH596" s="1"/>
      <c r="AI596" s="6">
        <v>44926</v>
      </c>
    </row>
    <row r="597" spans="1:35" x14ac:dyDescent="0.3">
      <c r="A597" s="1" t="s">
        <v>2024</v>
      </c>
      <c r="B597" s="2" t="str">
        <f>HYPERLINK("https://my.zakupki.prom.ua/remote/dispatcher/state_purchase_lot_view/740694")</f>
        <v>https://my.zakupki.prom.ua/remote/dispatcher/state_purchase_lot_view/740694</v>
      </c>
      <c r="C597" s="1" t="s">
        <v>4946</v>
      </c>
      <c r="D597" s="1" t="s">
        <v>803</v>
      </c>
      <c r="E597" s="4">
        <v>60</v>
      </c>
      <c r="F597" s="5">
        <v>641.47</v>
      </c>
      <c r="G597" s="1" t="s">
        <v>4773</v>
      </c>
      <c r="H597" s="1" t="s">
        <v>84</v>
      </c>
      <c r="I597" s="1" t="s">
        <v>3389</v>
      </c>
      <c r="J597" s="5">
        <v>3130108.6</v>
      </c>
      <c r="K597" s="5">
        <v>38487.9</v>
      </c>
      <c r="L597" s="5">
        <v>193</v>
      </c>
      <c r="M597" s="1" t="s">
        <v>2308</v>
      </c>
      <c r="N597" s="1" t="s">
        <v>3983</v>
      </c>
      <c r="O597" s="1" t="s">
        <v>2521</v>
      </c>
      <c r="P597" s="1" t="s">
        <v>2515</v>
      </c>
      <c r="Q597" s="1" t="s">
        <v>4911</v>
      </c>
      <c r="R597" s="1" t="s">
        <v>4476</v>
      </c>
      <c r="S597" s="1" t="s">
        <v>4971</v>
      </c>
      <c r="T597" s="6">
        <v>44593</v>
      </c>
      <c r="U597" s="6">
        <v>44593</v>
      </c>
      <c r="V597" s="7">
        <v>0.52401620370370372</v>
      </c>
      <c r="W597" s="6">
        <v>44610</v>
      </c>
      <c r="X597" s="7">
        <v>0.45833333333333331</v>
      </c>
      <c r="Y597" s="8">
        <v>44613.66028935185</v>
      </c>
      <c r="Z597" s="5">
        <v>119</v>
      </c>
      <c r="AA597" s="1" t="s">
        <v>3403</v>
      </c>
      <c r="AB597" s="1"/>
      <c r="AC597" s="1"/>
      <c r="AD597" s="1"/>
      <c r="AE597" s="1" t="s">
        <v>3788</v>
      </c>
      <c r="AF597" s="1" t="s">
        <v>9</v>
      </c>
      <c r="AG597" s="4">
        <v>50</v>
      </c>
      <c r="AH597" s="1"/>
      <c r="AI597" s="6">
        <v>44925</v>
      </c>
    </row>
    <row r="598" spans="1:35" x14ac:dyDescent="0.3">
      <c r="A598" s="1" t="s">
        <v>2024</v>
      </c>
      <c r="B598" s="2" t="str">
        <f>HYPERLINK("https://my.zakupki.prom.ua/remote/dispatcher/state_purchase_lot_view/740695")</f>
        <v>https://my.zakupki.prom.ua/remote/dispatcher/state_purchase_lot_view/740695</v>
      </c>
      <c r="C598" s="1" t="s">
        <v>4949</v>
      </c>
      <c r="D598" s="1" t="s">
        <v>803</v>
      </c>
      <c r="E598" s="4">
        <v>150</v>
      </c>
      <c r="F598" s="5">
        <v>1235.26</v>
      </c>
      <c r="G598" s="1" t="s">
        <v>4773</v>
      </c>
      <c r="H598" s="1" t="s">
        <v>84</v>
      </c>
      <c r="I598" s="1" t="s">
        <v>3389</v>
      </c>
      <c r="J598" s="5">
        <v>3130108.6</v>
      </c>
      <c r="K598" s="5">
        <v>185289</v>
      </c>
      <c r="L598" s="5">
        <v>927</v>
      </c>
      <c r="M598" s="1" t="s">
        <v>2308</v>
      </c>
      <c r="N598" s="1" t="s">
        <v>3983</v>
      </c>
      <c r="O598" s="1" t="s">
        <v>2521</v>
      </c>
      <c r="P598" s="1" t="s">
        <v>2515</v>
      </c>
      <c r="Q598" s="1" t="s">
        <v>4911</v>
      </c>
      <c r="R598" s="1" t="s">
        <v>4476</v>
      </c>
      <c r="S598" s="1" t="s">
        <v>4971</v>
      </c>
      <c r="T598" s="6">
        <v>44593</v>
      </c>
      <c r="U598" s="6">
        <v>44593</v>
      </c>
      <c r="V598" s="7">
        <v>0.52401620370370372</v>
      </c>
      <c r="W598" s="6">
        <v>44610</v>
      </c>
      <c r="X598" s="7">
        <v>0.45833333333333331</v>
      </c>
      <c r="Y598" s="8">
        <v>44613.466620370367</v>
      </c>
      <c r="Z598" s="5">
        <v>340</v>
      </c>
      <c r="AA598" s="1" t="s">
        <v>3403</v>
      </c>
      <c r="AB598" s="1"/>
      <c r="AC598" s="1"/>
      <c r="AD598" s="1"/>
      <c r="AE598" s="1" t="s">
        <v>3788</v>
      </c>
      <c r="AF598" s="1" t="s">
        <v>9</v>
      </c>
      <c r="AG598" s="4">
        <v>50</v>
      </c>
      <c r="AH598" s="1"/>
      <c r="AI598" s="6">
        <v>44925</v>
      </c>
    </row>
    <row r="599" spans="1:35" x14ac:dyDescent="0.3">
      <c r="A599" s="1" t="s">
        <v>2024</v>
      </c>
      <c r="B599" s="2" t="str">
        <f>HYPERLINK("https://my.zakupki.prom.ua/remote/dispatcher/state_purchase_lot_view/740696")</f>
        <v>https://my.zakupki.prom.ua/remote/dispatcher/state_purchase_lot_view/740696</v>
      </c>
      <c r="C599" s="1" t="s">
        <v>4950</v>
      </c>
      <c r="D599" s="1" t="s">
        <v>803</v>
      </c>
      <c r="E599" s="4">
        <v>300</v>
      </c>
      <c r="F599" s="5">
        <v>2471.6999999999998</v>
      </c>
      <c r="G599" s="1" t="s">
        <v>4773</v>
      </c>
      <c r="H599" s="1" t="s">
        <v>84</v>
      </c>
      <c r="I599" s="1" t="s">
        <v>3389</v>
      </c>
      <c r="J599" s="5">
        <v>3130108.6</v>
      </c>
      <c r="K599" s="5">
        <v>741510</v>
      </c>
      <c r="L599" s="5">
        <v>3708</v>
      </c>
      <c r="M599" s="1" t="s">
        <v>2308</v>
      </c>
      <c r="N599" s="1" t="s">
        <v>3983</v>
      </c>
      <c r="O599" s="1" t="s">
        <v>2521</v>
      </c>
      <c r="P599" s="1" t="s">
        <v>2515</v>
      </c>
      <c r="Q599" s="1" t="s">
        <v>4911</v>
      </c>
      <c r="R599" s="1" t="s">
        <v>4476</v>
      </c>
      <c r="S599" s="1" t="s">
        <v>4971</v>
      </c>
      <c r="T599" s="6">
        <v>44593</v>
      </c>
      <c r="U599" s="6">
        <v>44593</v>
      </c>
      <c r="V599" s="7">
        <v>0.52401620370370372</v>
      </c>
      <c r="W599" s="6">
        <v>44610</v>
      </c>
      <c r="X599" s="7">
        <v>0.45833333333333331</v>
      </c>
      <c r="Y599" s="8">
        <v>44613.479351851849</v>
      </c>
      <c r="Z599" s="5">
        <v>510</v>
      </c>
      <c r="AA599" s="1" t="s">
        <v>3403</v>
      </c>
      <c r="AB599" s="1"/>
      <c r="AC599" s="1"/>
      <c r="AD599" s="1"/>
      <c r="AE599" s="1" t="s">
        <v>3788</v>
      </c>
      <c r="AF599" s="1" t="s">
        <v>9</v>
      </c>
      <c r="AG599" s="4">
        <v>50</v>
      </c>
      <c r="AH599" s="1"/>
      <c r="AI599" s="6">
        <v>44925</v>
      </c>
    </row>
    <row r="600" spans="1:35" x14ac:dyDescent="0.3">
      <c r="A600" s="1" t="s">
        <v>2024</v>
      </c>
      <c r="B600" s="2" t="str">
        <f>HYPERLINK("https://my.zakupki.prom.ua/remote/dispatcher/state_purchase_lot_view/740697")</f>
        <v>https://my.zakupki.prom.ua/remote/dispatcher/state_purchase_lot_view/740697</v>
      </c>
      <c r="C600" s="1" t="s">
        <v>4951</v>
      </c>
      <c r="D600" s="1" t="s">
        <v>803</v>
      </c>
      <c r="E600" s="4">
        <v>500</v>
      </c>
      <c r="F600" s="5">
        <v>447.26</v>
      </c>
      <c r="G600" s="1" t="s">
        <v>4982</v>
      </c>
      <c r="H600" s="1" t="s">
        <v>84</v>
      </c>
      <c r="I600" s="1" t="s">
        <v>3389</v>
      </c>
      <c r="J600" s="5">
        <v>3130108.6</v>
      </c>
      <c r="K600" s="5">
        <v>223630</v>
      </c>
      <c r="L600" s="5">
        <v>1119</v>
      </c>
      <c r="M600" s="1" t="s">
        <v>2308</v>
      </c>
      <c r="N600" s="1" t="s">
        <v>3983</v>
      </c>
      <c r="O600" s="1" t="s">
        <v>2521</v>
      </c>
      <c r="P600" s="1" t="s">
        <v>2515</v>
      </c>
      <c r="Q600" s="1" t="s">
        <v>4911</v>
      </c>
      <c r="R600" s="1" t="s">
        <v>4476</v>
      </c>
      <c r="S600" s="1" t="s">
        <v>4971</v>
      </c>
      <c r="T600" s="6">
        <v>44593</v>
      </c>
      <c r="U600" s="6">
        <v>44593</v>
      </c>
      <c r="V600" s="7">
        <v>0.52401620370370372</v>
      </c>
      <c r="W600" s="6">
        <v>44610</v>
      </c>
      <c r="X600" s="7">
        <v>0.45833333333333331</v>
      </c>
      <c r="Y600" s="8">
        <v>44613.515833333331</v>
      </c>
      <c r="Z600" s="5">
        <v>510</v>
      </c>
      <c r="AA600" s="1" t="s">
        <v>3403</v>
      </c>
      <c r="AB600" s="1"/>
      <c r="AC600" s="1"/>
      <c r="AD600" s="1"/>
      <c r="AE600" s="1" t="s">
        <v>3788</v>
      </c>
      <c r="AF600" s="1" t="s">
        <v>9</v>
      </c>
      <c r="AG600" s="4">
        <v>50</v>
      </c>
      <c r="AH600" s="1"/>
      <c r="AI600" s="6">
        <v>44925</v>
      </c>
    </row>
    <row r="601" spans="1:35" x14ac:dyDescent="0.3">
      <c r="A601" s="1" t="s">
        <v>2024</v>
      </c>
      <c r="B601" s="2" t="str">
        <f>HYPERLINK("https://my.zakupki.prom.ua/remote/dispatcher/state_purchase_lot_view/740698")</f>
        <v>https://my.zakupki.prom.ua/remote/dispatcher/state_purchase_lot_view/740698</v>
      </c>
      <c r="C601" s="1" t="s">
        <v>4952</v>
      </c>
      <c r="D601" s="1" t="s">
        <v>803</v>
      </c>
      <c r="E601" s="4">
        <v>250</v>
      </c>
      <c r="F601" s="5">
        <v>21.2</v>
      </c>
      <c r="G601" s="1" t="s">
        <v>4881</v>
      </c>
      <c r="H601" s="1" t="s">
        <v>84</v>
      </c>
      <c r="I601" s="1" t="s">
        <v>3389</v>
      </c>
      <c r="J601" s="5">
        <v>3130108.6</v>
      </c>
      <c r="K601" s="5">
        <v>5300</v>
      </c>
      <c r="L601" s="5">
        <v>27</v>
      </c>
      <c r="M601" s="1" t="s">
        <v>2308</v>
      </c>
      <c r="N601" s="1" t="s">
        <v>3983</v>
      </c>
      <c r="O601" s="1" t="s">
        <v>2521</v>
      </c>
      <c r="P601" s="1" t="s">
        <v>2515</v>
      </c>
      <c r="Q601" s="1" t="s">
        <v>4911</v>
      </c>
      <c r="R601" s="1" t="s">
        <v>4476</v>
      </c>
      <c r="S601" s="1" t="s">
        <v>4971</v>
      </c>
      <c r="T601" s="6">
        <v>44593</v>
      </c>
      <c r="U601" s="6">
        <v>44593</v>
      </c>
      <c r="V601" s="7">
        <v>0.52401620370370372</v>
      </c>
      <c r="W601" s="6">
        <v>44610</v>
      </c>
      <c r="X601" s="7">
        <v>0.45833333333333331</v>
      </c>
      <c r="Y601" s="8">
        <v>44613.522534722222</v>
      </c>
      <c r="Z601" s="5">
        <v>17</v>
      </c>
      <c r="AA601" s="1" t="s">
        <v>3403</v>
      </c>
      <c r="AB601" s="1"/>
      <c r="AC601" s="1"/>
      <c r="AD601" s="1"/>
      <c r="AE601" s="1" t="s">
        <v>3788</v>
      </c>
      <c r="AF601" s="1" t="s">
        <v>9</v>
      </c>
      <c r="AG601" s="4">
        <v>50</v>
      </c>
      <c r="AH601" s="1"/>
      <c r="AI601" s="6">
        <v>44925</v>
      </c>
    </row>
    <row r="602" spans="1:35" x14ac:dyDescent="0.3">
      <c r="A602" s="1" t="s">
        <v>2024</v>
      </c>
      <c r="B602" s="2" t="str">
        <f>HYPERLINK("https://my.zakupki.prom.ua/remote/dispatcher/state_purchase_lot_view/740699")</f>
        <v>https://my.zakupki.prom.ua/remote/dispatcher/state_purchase_lot_view/740699</v>
      </c>
      <c r="C602" s="1" t="s">
        <v>4953</v>
      </c>
      <c r="D602" s="1" t="s">
        <v>803</v>
      </c>
      <c r="E602" s="4">
        <v>2000</v>
      </c>
      <c r="F602" s="5">
        <v>168.7</v>
      </c>
      <c r="G602" s="1" t="s">
        <v>4773</v>
      </c>
      <c r="H602" s="1" t="s">
        <v>84</v>
      </c>
      <c r="I602" s="1" t="s">
        <v>3389</v>
      </c>
      <c r="J602" s="5">
        <v>3130108.6</v>
      </c>
      <c r="K602" s="5">
        <v>337400</v>
      </c>
      <c r="L602" s="5">
        <v>1687</v>
      </c>
      <c r="M602" s="1" t="s">
        <v>2308</v>
      </c>
      <c r="N602" s="1" t="s">
        <v>3983</v>
      </c>
      <c r="O602" s="1" t="s">
        <v>2521</v>
      </c>
      <c r="P602" s="1" t="s">
        <v>2515</v>
      </c>
      <c r="Q602" s="1" t="s">
        <v>4911</v>
      </c>
      <c r="R602" s="1" t="s">
        <v>4476</v>
      </c>
      <c r="S602" s="1" t="s">
        <v>4971</v>
      </c>
      <c r="T602" s="6">
        <v>44593</v>
      </c>
      <c r="U602" s="6">
        <v>44593</v>
      </c>
      <c r="V602" s="7">
        <v>0.52401620370370372</v>
      </c>
      <c r="W602" s="6">
        <v>44610</v>
      </c>
      <c r="X602" s="7">
        <v>0.45833333333333331</v>
      </c>
      <c r="Y602" s="8">
        <v>44613.57949074074</v>
      </c>
      <c r="Z602" s="5">
        <v>510</v>
      </c>
      <c r="AA602" s="1" t="s">
        <v>3403</v>
      </c>
      <c r="AB602" s="1"/>
      <c r="AC602" s="1"/>
      <c r="AD602" s="1"/>
      <c r="AE602" s="1" t="s">
        <v>3788</v>
      </c>
      <c r="AF602" s="1" t="s">
        <v>9</v>
      </c>
      <c r="AG602" s="4">
        <v>50</v>
      </c>
      <c r="AH602" s="1"/>
      <c r="AI602" s="6">
        <v>44925</v>
      </c>
    </row>
    <row r="603" spans="1:35" x14ac:dyDescent="0.3">
      <c r="A603" s="1" t="s">
        <v>2024</v>
      </c>
      <c r="B603" s="2" t="str">
        <f>HYPERLINK("https://my.zakupki.prom.ua/remote/dispatcher/state_purchase_lot_view/740700")</f>
        <v>https://my.zakupki.prom.ua/remote/dispatcher/state_purchase_lot_view/740700</v>
      </c>
      <c r="C603" s="1" t="s">
        <v>4954</v>
      </c>
      <c r="D603" s="1" t="s">
        <v>803</v>
      </c>
      <c r="E603" s="4">
        <v>4000</v>
      </c>
      <c r="F603" s="5">
        <v>6.63</v>
      </c>
      <c r="G603" s="1" t="s">
        <v>4982</v>
      </c>
      <c r="H603" s="1" t="s">
        <v>84</v>
      </c>
      <c r="I603" s="1" t="s">
        <v>3389</v>
      </c>
      <c r="J603" s="5">
        <v>3130108.6</v>
      </c>
      <c r="K603" s="5">
        <v>26520</v>
      </c>
      <c r="L603" s="5">
        <v>133</v>
      </c>
      <c r="M603" s="1" t="s">
        <v>2308</v>
      </c>
      <c r="N603" s="1" t="s">
        <v>3983</v>
      </c>
      <c r="O603" s="1" t="s">
        <v>2521</v>
      </c>
      <c r="P603" s="1" t="s">
        <v>2515</v>
      </c>
      <c r="Q603" s="1" t="s">
        <v>4911</v>
      </c>
      <c r="R603" s="1" t="s">
        <v>4476</v>
      </c>
      <c r="S603" s="1" t="s">
        <v>4971</v>
      </c>
      <c r="T603" s="6">
        <v>44593</v>
      </c>
      <c r="U603" s="6">
        <v>44593</v>
      </c>
      <c r="V603" s="7">
        <v>0.52401620370370372</v>
      </c>
      <c r="W603" s="6">
        <v>44610</v>
      </c>
      <c r="X603" s="7">
        <v>0.45833333333333331</v>
      </c>
      <c r="Y603" s="8">
        <v>44613.585393518515</v>
      </c>
      <c r="Z603" s="5">
        <v>119</v>
      </c>
      <c r="AA603" s="1" t="s">
        <v>3403</v>
      </c>
      <c r="AB603" s="1"/>
      <c r="AC603" s="1"/>
      <c r="AD603" s="1"/>
      <c r="AE603" s="1" t="s">
        <v>3788</v>
      </c>
      <c r="AF603" s="1" t="s">
        <v>9</v>
      </c>
      <c r="AG603" s="4">
        <v>50</v>
      </c>
      <c r="AH603" s="1"/>
      <c r="AI603" s="6">
        <v>44925</v>
      </c>
    </row>
    <row r="604" spans="1:35" x14ac:dyDescent="0.3">
      <c r="A604" s="1" t="s">
        <v>2024</v>
      </c>
      <c r="B604" s="2" t="str">
        <f>HYPERLINK("https://my.zakupki.prom.ua/remote/dispatcher/state_purchase_lot_view/740701")</f>
        <v>https://my.zakupki.prom.ua/remote/dispatcher/state_purchase_lot_view/740701</v>
      </c>
      <c r="C604" s="1" t="s">
        <v>4955</v>
      </c>
      <c r="D604" s="1" t="s">
        <v>803</v>
      </c>
      <c r="E604" s="4">
        <v>350</v>
      </c>
      <c r="F604" s="5">
        <v>1117.5999999999999</v>
      </c>
      <c r="G604" s="1" t="s">
        <v>4773</v>
      </c>
      <c r="H604" s="1" t="s">
        <v>84</v>
      </c>
      <c r="I604" s="1" t="s">
        <v>3389</v>
      </c>
      <c r="J604" s="5">
        <v>3130108.6</v>
      </c>
      <c r="K604" s="5">
        <v>391160</v>
      </c>
      <c r="L604" s="5">
        <v>1956</v>
      </c>
      <c r="M604" s="1" t="s">
        <v>2308</v>
      </c>
      <c r="N604" s="1" t="s">
        <v>3983</v>
      </c>
      <c r="O604" s="1" t="s">
        <v>2521</v>
      </c>
      <c r="P604" s="1" t="s">
        <v>2515</v>
      </c>
      <c r="Q604" s="1" t="s">
        <v>4911</v>
      </c>
      <c r="R604" s="1" t="s">
        <v>4476</v>
      </c>
      <c r="S604" s="1" t="s">
        <v>4971</v>
      </c>
      <c r="T604" s="6">
        <v>44593</v>
      </c>
      <c r="U604" s="6">
        <v>44593</v>
      </c>
      <c r="V604" s="7">
        <v>0.52401620370370372</v>
      </c>
      <c r="W604" s="6">
        <v>44610</v>
      </c>
      <c r="X604" s="7">
        <v>0.45833333333333331</v>
      </c>
      <c r="Y604" s="8">
        <v>44613.612569444442</v>
      </c>
      <c r="Z604" s="5">
        <v>510</v>
      </c>
      <c r="AA604" s="1" t="s">
        <v>3403</v>
      </c>
      <c r="AB604" s="1"/>
      <c r="AC604" s="1"/>
      <c r="AD604" s="1"/>
      <c r="AE604" s="1" t="s">
        <v>3788</v>
      </c>
      <c r="AF604" s="1" t="s">
        <v>9</v>
      </c>
      <c r="AG604" s="4">
        <v>50</v>
      </c>
      <c r="AH604" s="1"/>
      <c r="AI604" s="6">
        <v>44925</v>
      </c>
    </row>
    <row r="605" spans="1:35" x14ac:dyDescent="0.3">
      <c r="A605" s="1" t="s">
        <v>2024</v>
      </c>
      <c r="B605" s="2" t="str">
        <f>HYPERLINK("https://my.zakupki.prom.ua/remote/dispatcher/state_purchase_lot_view/740702")</f>
        <v>https://my.zakupki.prom.ua/remote/dispatcher/state_purchase_lot_view/740702</v>
      </c>
      <c r="C605" s="1" t="s">
        <v>4956</v>
      </c>
      <c r="D605" s="1" t="s">
        <v>803</v>
      </c>
      <c r="E605" s="4">
        <v>450</v>
      </c>
      <c r="F605" s="5">
        <v>1930.85</v>
      </c>
      <c r="G605" s="1" t="s">
        <v>4773</v>
      </c>
      <c r="H605" s="1" t="s">
        <v>84</v>
      </c>
      <c r="I605" s="1" t="s">
        <v>3389</v>
      </c>
      <c r="J605" s="5">
        <v>3130108.6</v>
      </c>
      <c r="K605" s="5">
        <v>868882.5</v>
      </c>
      <c r="L605" s="5">
        <v>4345</v>
      </c>
      <c r="M605" s="1" t="s">
        <v>2308</v>
      </c>
      <c r="N605" s="1" t="s">
        <v>3983</v>
      </c>
      <c r="O605" s="1" t="s">
        <v>2521</v>
      </c>
      <c r="P605" s="1" t="s">
        <v>2515</v>
      </c>
      <c r="Q605" s="1" t="s">
        <v>4911</v>
      </c>
      <c r="R605" s="1" t="s">
        <v>4476</v>
      </c>
      <c r="S605" s="1" t="s">
        <v>4971</v>
      </c>
      <c r="T605" s="6">
        <v>44593</v>
      </c>
      <c r="U605" s="6">
        <v>44593</v>
      </c>
      <c r="V605" s="7">
        <v>0.52401620370370372</v>
      </c>
      <c r="W605" s="6">
        <v>44610</v>
      </c>
      <c r="X605" s="7">
        <v>0.45833333333333331</v>
      </c>
      <c r="Y605" s="8">
        <v>44613.492164351854</v>
      </c>
      <c r="Z605" s="5">
        <v>510</v>
      </c>
      <c r="AA605" s="1" t="s">
        <v>3403</v>
      </c>
      <c r="AB605" s="1"/>
      <c r="AC605" s="1"/>
      <c r="AD605" s="1"/>
      <c r="AE605" s="1" t="s">
        <v>3788</v>
      </c>
      <c r="AF605" s="1" t="s">
        <v>9</v>
      </c>
      <c r="AG605" s="4">
        <v>50</v>
      </c>
      <c r="AH605" s="1"/>
      <c r="AI605" s="6">
        <v>44925</v>
      </c>
    </row>
    <row r="606" spans="1:35" x14ac:dyDescent="0.3">
      <c r="A606" s="1" t="s">
        <v>2024</v>
      </c>
      <c r="B606" s="2" t="str">
        <f>HYPERLINK("https://my.zakupki.prom.ua/remote/dispatcher/state_purchase_lot_view/740703")</f>
        <v>https://my.zakupki.prom.ua/remote/dispatcher/state_purchase_lot_view/740703</v>
      </c>
      <c r="C606" s="1" t="s">
        <v>4947</v>
      </c>
      <c r="D606" s="1" t="s">
        <v>803</v>
      </c>
      <c r="E606" s="4">
        <v>70</v>
      </c>
      <c r="F606" s="5">
        <v>272.39999999999998</v>
      </c>
      <c r="G606" s="1" t="s">
        <v>4991</v>
      </c>
      <c r="H606" s="1" t="s">
        <v>84</v>
      </c>
      <c r="I606" s="1" t="s">
        <v>3389</v>
      </c>
      <c r="J606" s="5">
        <v>3130108.6</v>
      </c>
      <c r="K606" s="5">
        <v>19068</v>
      </c>
      <c r="L606" s="5">
        <v>96</v>
      </c>
      <c r="M606" s="1" t="s">
        <v>2308</v>
      </c>
      <c r="N606" s="1" t="s">
        <v>3983</v>
      </c>
      <c r="O606" s="1" t="s">
        <v>2521</v>
      </c>
      <c r="P606" s="1" t="s">
        <v>2515</v>
      </c>
      <c r="Q606" s="1" t="s">
        <v>4911</v>
      </c>
      <c r="R606" s="1" t="s">
        <v>4476</v>
      </c>
      <c r="S606" s="1" t="s">
        <v>4971</v>
      </c>
      <c r="T606" s="6">
        <v>44593</v>
      </c>
      <c r="U606" s="6">
        <v>44593</v>
      </c>
      <c r="V606" s="7">
        <v>0.52401620370370372</v>
      </c>
      <c r="W606" s="6">
        <v>44610</v>
      </c>
      <c r="X606" s="7">
        <v>0.45833333333333331</v>
      </c>
      <c r="Y606" s="8">
        <v>44613.512499999997</v>
      </c>
      <c r="Z606" s="5">
        <v>17</v>
      </c>
      <c r="AA606" s="1" t="s">
        <v>3403</v>
      </c>
      <c r="AB606" s="1"/>
      <c r="AC606" s="1"/>
      <c r="AD606" s="1"/>
      <c r="AE606" s="1" t="s">
        <v>3788</v>
      </c>
      <c r="AF606" s="1" t="s">
        <v>9</v>
      </c>
      <c r="AG606" s="4">
        <v>50</v>
      </c>
      <c r="AH606" s="1"/>
      <c r="AI606" s="6">
        <v>44925</v>
      </c>
    </row>
    <row r="607" spans="1:35" x14ac:dyDescent="0.3">
      <c r="A607" s="1" t="s">
        <v>2024</v>
      </c>
      <c r="B607" s="2" t="str">
        <f>HYPERLINK("https://my.zakupki.prom.ua/remote/dispatcher/state_purchase_lot_view/740704")</f>
        <v>https://my.zakupki.prom.ua/remote/dispatcher/state_purchase_lot_view/740704</v>
      </c>
      <c r="C607" s="1" t="s">
        <v>4948</v>
      </c>
      <c r="D607" s="1" t="s">
        <v>803</v>
      </c>
      <c r="E607" s="4">
        <v>60</v>
      </c>
      <c r="F607" s="5">
        <v>4881.0200000000004</v>
      </c>
      <c r="G607" s="1" t="s">
        <v>4991</v>
      </c>
      <c r="H607" s="1" t="s">
        <v>84</v>
      </c>
      <c r="I607" s="1" t="s">
        <v>3389</v>
      </c>
      <c r="J607" s="5">
        <v>3130108.6</v>
      </c>
      <c r="K607" s="5">
        <v>292861.2</v>
      </c>
      <c r="L607" s="5">
        <v>1465</v>
      </c>
      <c r="M607" s="1" t="s">
        <v>2308</v>
      </c>
      <c r="N607" s="1" t="s">
        <v>3983</v>
      </c>
      <c r="O607" s="1" t="s">
        <v>2521</v>
      </c>
      <c r="P607" s="1" t="s">
        <v>2515</v>
      </c>
      <c r="Q607" s="1" t="s">
        <v>4911</v>
      </c>
      <c r="R607" s="1" t="s">
        <v>4476</v>
      </c>
      <c r="S607" s="1" t="s">
        <v>4971</v>
      </c>
      <c r="T607" s="6">
        <v>44593</v>
      </c>
      <c r="U607" s="6">
        <v>44593</v>
      </c>
      <c r="V607" s="7">
        <v>0.52401620370370372</v>
      </c>
      <c r="W607" s="6">
        <v>44610</v>
      </c>
      <c r="X607" s="7">
        <v>0.45833333333333331</v>
      </c>
      <c r="Y607" s="8">
        <v>44613.538564814815</v>
      </c>
      <c r="Z607" s="5">
        <v>510</v>
      </c>
      <c r="AA607" s="1" t="s">
        <v>3403</v>
      </c>
      <c r="AB607" s="1"/>
      <c r="AC607" s="1"/>
      <c r="AD607" s="1"/>
      <c r="AE607" s="1" t="s">
        <v>3788</v>
      </c>
      <c r="AF607" s="1" t="s">
        <v>9</v>
      </c>
      <c r="AG607" s="4">
        <v>50</v>
      </c>
      <c r="AH607" s="1"/>
      <c r="AI607" s="6">
        <v>44925</v>
      </c>
    </row>
    <row r="608" spans="1:35" x14ac:dyDescent="0.3">
      <c r="A608" s="1" t="s">
        <v>2014</v>
      </c>
      <c r="B608" s="2" t="str">
        <f>HYPERLINK("https://my.zakupki.prom.ua/remote/dispatcher/state_purchase_view/34687210")</f>
        <v>https://my.zakupki.prom.ua/remote/dispatcher/state_purchase_view/34687210</v>
      </c>
      <c r="C608" s="1" t="s">
        <v>3640</v>
      </c>
      <c r="D608" s="1" t="s">
        <v>1144</v>
      </c>
      <c r="E608" s="4">
        <v>1</v>
      </c>
      <c r="F608" s="5">
        <v>514000</v>
      </c>
      <c r="G608" s="1" t="s">
        <v>4975</v>
      </c>
      <c r="H608" s="1" t="s">
        <v>85</v>
      </c>
      <c r="I608" s="1" t="s">
        <v>3096</v>
      </c>
      <c r="J608" s="5">
        <v>514000</v>
      </c>
      <c r="K608" s="1" t="s">
        <v>3394</v>
      </c>
      <c r="L608" s="5">
        <v>5140</v>
      </c>
      <c r="M608" s="1" t="s">
        <v>2308</v>
      </c>
      <c r="N608" s="1" t="s">
        <v>3983</v>
      </c>
      <c r="O608" s="1" t="s">
        <v>2521</v>
      </c>
      <c r="P608" s="1" t="s">
        <v>2515</v>
      </c>
      <c r="Q608" s="1" t="s">
        <v>3035</v>
      </c>
      <c r="R608" s="1" t="s">
        <v>4497</v>
      </c>
      <c r="S608" s="1" t="s">
        <v>4971</v>
      </c>
      <c r="T608" s="6">
        <v>44593</v>
      </c>
      <c r="U608" s="6">
        <v>44593</v>
      </c>
      <c r="V608" s="7">
        <v>0.52026534423611115</v>
      </c>
      <c r="W608" s="6">
        <v>44609</v>
      </c>
      <c r="X608" s="7">
        <v>0.52372685185185186</v>
      </c>
      <c r="Y608" s="8">
        <v>44610.628854166665</v>
      </c>
      <c r="Z608" s="5">
        <v>510</v>
      </c>
      <c r="AA608" s="1" t="s">
        <v>3403</v>
      </c>
      <c r="AB608" s="1"/>
      <c r="AC608" s="1"/>
      <c r="AD608" s="1"/>
      <c r="AE608" s="1" t="s">
        <v>3692</v>
      </c>
      <c r="AF608" s="1" t="s">
        <v>9</v>
      </c>
      <c r="AG608" s="4">
        <v>5</v>
      </c>
      <c r="AH608" s="1"/>
      <c r="AI608" s="6">
        <v>44926</v>
      </c>
    </row>
    <row r="609" spans="1:35" x14ac:dyDescent="0.3">
      <c r="A609" s="1" t="s">
        <v>1374</v>
      </c>
      <c r="B609" s="2" t="str">
        <f>HYPERLINK("https://my.zakupki.prom.ua/remote/dispatcher/state_purchase_view/34687209")</f>
        <v>https://my.zakupki.prom.ua/remote/dispatcher/state_purchase_view/34687209</v>
      </c>
      <c r="C609" s="1" t="s">
        <v>3540</v>
      </c>
      <c r="D609" s="1" t="s">
        <v>1192</v>
      </c>
      <c r="E609" s="4">
        <v>10251</v>
      </c>
      <c r="F609" s="5">
        <v>15</v>
      </c>
      <c r="G609" s="1" t="s">
        <v>4938</v>
      </c>
      <c r="H609" s="1" t="s">
        <v>592</v>
      </c>
      <c r="I609" s="1" t="s">
        <v>3071</v>
      </c>
      <c r="J609" s="5">
        <v>153765</v>
      </c>
      <c r="K609" s="1" t="s">
        <v>3394</v>
      </c>
      <c r="L609" s="5">
        <v>768.83</v>
      </c>
      <c r="M609" s="1" t="s">
        <v>2308</v>
      </c>
      <c r="N609" s="1" t="s">
        <v>3983</v>
      </c>
      <c r="O609" s="1" t="s">
        <v>2521</v>
      </c>
      <c r="P609" s="1" t="s">
        <v>3956</v>
      </c>
      <c r="Q609" s="1" t="s">
        <v>4805</v>
      </c>
      <c r="R609" s="1" t="s">
        <v>4482</v>
      </c>
      <c r="S609" s="1" t="s">
        <v>4937</v>
      </c>
      <c r="T609" s="6">
        <v>44593</v>
      </c>
      <c r="U609" s="6">
        <v>44597</v>
      </c>
      <c r="V609" s="7">
        <v>0.375</v>
      </c>
      <c r="W609" s="6">
        <v>44602</v>
      </c>
      <c r="X609" s="7">
        <v>0.375</v>
      </c>
      <c r="Y609" s="1" t="s">
        <v>4860</v>
      </c>
      <c r="Z609" s="5">
        <v>340</v>
      </c>
      <c r="AA609" s="1" t="s">
        <v>3403</v>
      </c>
      <c r="AB609" s="1"/>
      <c r="AC609" s="1"/>
      <c r="AD609" s="1"/>
      <c r="AE609" s="1" t="s">
        <v>3788</v>
      </c>
      <c r="AF609" s="1" t="s">
        <v>9</v>
      </c>
      <c r="AG609" s="1" t="s">
        <v>9</v>
      </c>
      <c r="AH609" s="1"/>
      <c r="AI609" s="6">
        <v>44926</v>
      </c>
    </row>
    <row r="610" spans="1:35" x14ac:dyDescent="0.3">
      <c r="A610" s="1" t="s">
        <v>1626</v>
      </c>
      <c r="B610" s="2" t="str">
        <f>HYPERLINK("https://my.zakupki.prom.ua/remote/dispatcher/state_purchase_view/34687208")</f>
        <v>https://my.zakupki.prom.ua/remote/dispatcher/state_purchase_view/34687208</v>
      </c>
      <c r="C610" s="1" t="s">
        <v>373</v>
      </c>
      <c r="D610" s="1" t="s">
        <v>373</v>
      </c>
      <c r="E610" s="1" t="s">
        <v>4903</v>
      </c>
      <c r="F610" s="1" t="s">
        <v>4903</v>
      </c>
      <c r="G610" s="1" t="s">
        <v>4903</v>
      </c>
      <c r="H610" s="1" t="s">
        <v>1128</v>
      </c>
      <c r="I610" s="1" t="s">
        <v>4810</v>
      </c>
      <c r="J610" s="5">
        <v>308000</v>
      </c>
      <c r="K610" s="1" t="s">
        <v>3394</v>
      </c>
      <c r="L610" s="5">
        <v>1540</v>
      </c>
      <c r="M610" s="1" t="s">
        <v>2308</v>
      </c>
      <c r="N610" s="1" t="s">
        <v>3983</v>
      </c>
      <c r="O610" s="1" t="s">
        <v>2521</v>
      </c>
      <c r="P610" s="1" t="s">
        <v>2515</v>
      </c>
      <c r="Q610" s="1" t="s">
        <v>4911</v>
      </c>
      <c r="R610" s="1" t="s">
        <v>4542</v>
      </c>
      <c r="S610" s="1" t="s">
        <v>4971</v>
      </c>
      <c r="T610" s="6">
        <v>44593</v>
      </c>
      <c r="U610" s="6">
        <v>44593</v>
      </c>
      <c r="V610" s="7">
        <v>0.51855827491898154</v>
      </c>
      <c r="W610" s="6">
        <v>44609</v>
      </c>
      <c r="X610" s="7">
        <v>0</v>
      </c>
      <c r="Y610" s="8">
        <v>44609.559004629627</v>
      </c>
      <c r="Z610" s="5">
        <v>510</v>
      </c>
      <c r="AA610" s="1" t="s">
        <v>3403</v>
      </c>
      <c r="AB610" s="1"/>
      <c r="AC610" s="1"/>
      <c r="AD610" s="1"/>
      <c r="AE610" s="1" t="s">
        <v>3774</v>
      </c>
      <c r="AF610" s="1" t="s">
        <v>9</v>
      </c>
      <c r="AG610" s="1" t="s">
        <v>9</v>
      </c>
      <c r="AH610" s="1"/>
      <c r="AI610" s="6">
        <v>44926</v>
      </c>
    </row>
    <row r="611" spans="1:35" x14ac:dyDescent="0.3">
      <c r="A611" s="1" t="s">
        <v>1636</v>
      </c>
      <c r="B611" s="2" t="str">
        <f>HYPERLINK("https://my.zakupki.prom.ua/remote/dispatcher/state_purchase_view/34687203")</f>
        <v>https://my.zakupki.prom.ua/remote/dispatcher/state_purchase_view/34687203</v>
      </c>
      <c r="C611" s="1" t="s">
        <v>3864</v>
      </c>
      <c r="D611" s="1" t="s">
        <v>1137</v>
      </c>
      <c r="E611" s="4">
        <v>1</v>
      </c>
      <c r="F611" s="5">
        <v>26018728</v>
      </c>
      <c r="G611" s="1" t="s">
        <v>4975</v>
      </c>
      <c r="H611" s="1" t="s">
        <v>970</v>
      </c>
      <c r="I611" s="1" t="s">
        <v>3832</v>
      </c>
      <c r="J611" s="5">
        <v>26018728</v>
      </c>
      <c r="K611" s="1" t="s">
        <v>3394</v>
      </c>
      <c r="L611" s="5">
        <v>130093.64</v>
      </c>
      <c r="M611" s="1" t="s">
        <v>2308</v>
      </c>
      <c r="N611" s="1" t="s">
        <v>3403</v>
      </c>
      <c r="O611" s="1" t="s">
        <v>392</v>
      </c>
      <c r="P611" s="1" t="s">
        <v>2515</v>
      </c>
      <c r="Q611" s="1" t="s">
        <v>3426</v>
      </c>
      <c r="R611" s="1" t="s">
        <v>4140</v>
      </c>
      <c r="S611" s="1" t="s">
        <v>4971</v>
      </c>
      <c r="T611" s="6">
        <v>44593</v>
      </c>
      <c r="U611" s="6">
        <v>44593</v>
      </c>
      <c r="V611" s="7">
        <v>0.52579861111111115</v>
      </c>
      <c r="W611" s="6">
        <v>44610</v>
      </c>
      <c r="X611" s="7">
        <v>0.41666666666666669</v>
      </c>
      <c r="Y611" s="8">
        <v>44613.554930555554</v>
      </c>
      <c r="Z611" s="5">
        <v>3400</v>
      </c>
      <c r="AA611" s="1" t="s">
        <v>3403</v>
      </c>
      <c r="AB611" s="1"/>
      <c r="AC611" s="1"/>
      <c r="AD611" s="1"/>
      <c r="AE611" s="1" t="s">
        <v>3696</v>
      </c>
      <c r="AF611" s="1" t="s">
        <v>9</v>
      </c>
      <c r="AG611" s="4">
        <v>455</v>
      </c>
      <c r="AH611" s="1"/>
      <c r="AI611" s="6">
        <v>44926</v>
      </c>
    </row>
    <row r="612" spans="1:35" x14ac:dyDescent="0.3">
      <c r="A612" s="1" t="s">
        <v>1631</v>
      </c>
      <c r="B612" s="2" t="str">
        <f>HYPERLINK("https://my.zakupki.prom.ua/remote/dispatcher/state_purchase_view/34687198")</f>
        <v>https://my.zakupki.prom.ua/remote/dispatcher/state_purchase_view/34687198</v>
      </c>
      <c r="C612" s="1" t="s">
        <v>3597</v>
      </c>
      <c r="D612" s="1" t="s">
        <v>1253</v>
      </c>
      <c r="E612" s="4">
        <v>1</v>
      </c>
      <c r="F612" s="5">
        <v>6920000</v>
      </c>
      <c r="G612" s="1" t="s">
        <v>4940</v>
      </c>
      <c r="H612" s="1" t="s">
        <v>851</v>
      </c>
      <c r="I612" s="1" t="s">
        <v>3165</v>
      </c>
      <c r="J612" s="5">
        <v>6920000</v>
      </c>
      <c r="K612" s="1" t="s">
        <v>3394</v>
      </c>
      <c r="L612" s="5">
        <v>34600</v>
      </c>
      <c r="M612" s="1" t="s">
        <v>2308</v>
      </c>
      <c r="N612" s="1" t="s">
        <v>3983</v>
      </c>
      <c r="O612" s="1" t="s">
        <v>551</v>
      </c>
      <c r="P612" s="1" t="s">
        <v>2516</v>
      </c>
      <c r="Q612" s="1" t="s">
        <v>4911</v>
      </c>
      <c r="R612" s="1" t="s">
        <v>4695</v>
      </c>
      <c r="S612" s="1" t="s">
        <v>4971</v>
      </c>
      <c r="T612" s="6">
        <v>44593</v>
      </c>
      <c r="U612" s="6">
        <v>44593</v>
      </c>
      <c r="V612" s="7">
        <v>0.52061574663194443</v>
      </c>
      <c r="W612" s="6">
        <v>44624</v>
      </c>
      <c r="X612" s="7">
        <v>0</v>
      </c>
      <c r="Y612" s="8">
        <v>44659.46597222222</v>
      </c>
      <c r="Z612" s="5">
        <v>3400</v>
      </c>
      <c r="AA612" s="1" t="s">
        <v>3403</v>
      </c>
      <c r="AB612" s="1"/>
      <c r="AC612" s="1"/>
      <c r="AD612" s="1"/>
      <c r="AE612" s="1" t="s">
        <v>3741</v>
      </c>
      <c r="AF612" s="1" t="s">
        <v>9</v>
      </c>
      <c r="AG612" s="4">
        <v>18</v>
      </c>
      <c r="AH612" s="1"/>
      <c r="AI612" s="6">
        <v>44712</v>
      </c>
    </row>
    <row r="613" spans="1:35" x14ac:dyDescent="0.3">
      <c r="A613" s="1" t="s">
        <v>1635</v>
      </c>
      <c r="B613" s="2" t="str">
        <f>HYPERLINK("https://my.zakupki.prom.ua/remote/dispatcher/state_purchase_view/34687195")</f>
        <v>https://my.zakupki.prom.ua/remote/dispatcher/state_purchase_view/34687195</v>
      </c>
      <c r="C613" s="1" t="s">
        <v>4988</v>
      </c>
      <c r="D613" s="1" t="s">
        <v>494</v>
      </c>
      <c r="E613" s="4">
        <v>8300</v>
      </c>
      <c r="F613" s="5">
        <v>20.9</v>
      </c>
      <c r="G613" s="1" t="s">
        <v>4883</v>
      </c>
      <c r="H613" s="1" t="s">
        <v>41</v>
      </c>
      <c r="I613" s="1" t="s">
        <v>2740</v>
      </c>
      <c r="J613" s="5">
        <v>173500</v>
      </c>
      <c r="K613" s="1" t="s">
        <v>3394</v>
      </c>
      <c r="L613" s="5">
        <v>867.5</v>
      </c>
      <c r="M613" s="1" t="s">
        <v>2308</v>
      </c>
      <c r="N613" s="1" t="s">
        <v>3983</v>
      </c>
      <c r="O613" s="1" t="s">
        <v>2521</v>
      </c>
      <c r="P613" s="1" t="s">
        <v>3956</v>
      </c>
      <c r="Q613" s="1" t="s">
        <v>2334</v>
      </c>
      <c r="R613" s="1" t="s">
        <v>4705</v>
      </c>
      <c r="S613" s="1" t="s">
        <v>4937</v>
      </c>
      <c r="T613" s="6">
        <v>44593</v>
      </c>
      <c r="U613" s="6">
        <v>44599</v>
      </c>
      <c r="V613" s="7">
        <v>0</v>
      </c>
      <c r="W613" s="6">
        <v>44601</v>
      </c>
      <c r="X613" s="7">
        <v>0</v>
      </c>
      <c r="Y613" s="1" t="s">
        <v>4860</v>
      </c>
      <c r="Z613" s="5">
        <v>340</v>
      </c>
      <c r="AA613" s="1" t="s">
        <v>3403</v>
      </c>
      <c r="AB613" s="1"/>
      <c r="AC613" s="1"/>
      <c r="AD613" s="1"/>
      <c r="AE613" s="1" t="s">
        <v>3803</v>
      </c>
      <c r="AF613" s="1" t="s">
        <v>9</v>
      </c>
      <c r="AG613" s="4">
        <v>2</v>
      </c>
      <c r="AH613" s="1"/>
      <c r="AI613" s="6">
        <v>44926</v>
      </c>
    </row>
    <row r="614" spans="1:35" x14ac:dyDescent="0.3">
      <c r="A614" s="1" t="s">
        <v>1633</v>
      </c>
      <c r="B614" s="2" t="str">
        <f>HYPERLINK("https://my.zakupki.prom.ua/remote/dispatcher/state_purchase_view/34687191")</f>
        <v>https://my.zakupki.prom.ua/remote/dispatcher/state_purchase_view/34687191</v>
      </c>
      <c r="C614" s="1" t="s">
        <v>3843</v>
      </c>
      <c r="D614" s="1" t="s">
        <v>1182</v>
      </c>
      <c r="E614" s="1" t="s">
        <v>4903</v>
      </c>
      <c r="F614" s="1" t="s">
        <v>4903</v>
      </c>
      <c r="G614" s="1" t="s">
        <v>4903</v>
      </c>
      <c r="H614" s="1" t="s">
        <v>560</v>
      </c>
      <c r="I614" s="1" t="s">
        <v>4790</v>
      </c>
      <c r="J614" s="5">
        <v>209073.34</v>
      </c>
      <c r="K614" s="1" t="s">
        <v>3394</v>
      </c>
      <c r="L614" s="5">
        <v>2090.73</v>
      </c>
      <c r="M614" s="1" t="s">
        <v>2308</v>
      </c>
      <c r="N614" s="1" t="s">
        <v>3983</v>
      </c>
      <c r="O614" s="1" t="s">
        <v>2521</v>
      </c>
      <c r="P614" s="1" t="s">
        <v>2515</v>
      </c>
      <c r="Q614" s="1" t="s">
        <v>4805</v>
      </c>
      <c r="R614" s="1" t="s">
        <v>4381</v>
      </c>
      <c r="S614" s="1" t="s">
        <v>4971</v>
      </c>
      <c r="T614" s="6">
        <v>44593</v>
      </c>
      <c r="U614" s="6">
        <v>44593</v>
      </c>
      <c r="V614" s="7">
        <v>0.52362268518518518</v>
      </c>
      <c r="W614" s="6">
        <v>44609</v>
      </c>
      <c r="X614" s="7">
        <v>0.5</v>
      </c>
      <c r="Y614" s="8">
        <v>44610.657708333332</v>
      </c>
      <c r="Z614" s="5">
        <v>510</v>
      </c>
      <c r="AA614" s="1" t="s">
        <v>3403</v>
      </c>
      <c r="AB614" s="1"/>
      <c r="AC614" s="1"/>
      <c r="AD614" s="1"/>
      <c r="AE614" s="1" t="s">
        <v>3736</v>
      </c>
      <c r="AF614" s="1" t="s">
        <v>9</v>
      </c>
      <c r="AG614" s="4">
        <v>2</v>
      </c>
      <c r="AH614" s="1"/>
      <c r="AI614" s="6">
        <v>44926</v>
      </c>
    </row>
    <row r="615" spans="1:35" x14ac:dyDescent="0.3">
      <c r="A615" s="1" t="s">
        <v>1618</v>
      </c>
      <c r="B615" s="2" t="str">
        <f>HYPERLINK("https://my.zakupki.prom.ua/remote/dispatcher/state_purchase_view/34687186")</f>
        <v>https://my.zakupki.prom.ua/remote/dispatcher/state_purchase_view/34687186</v>
      </c>
      <c r="C615" s="1" t="s">
        <v>482</v>
      </c>
      <c r="D615" s="1" t="s">
        <v>480</v>
      </c>
      <c r="E615" s="1" t="s">
        <v>4903</v>
      </c>
      <c r="F615" s="1" t="s">
        <v>4903</v>
      </c>
      <c r="G615" s="1" t="s">
        <v>4903</v>
      </c>
      <c r="H615" s="1" t="s">
        <v>624</v>
      </c>
      <c r="I615" s="1" t="s">
        <v>3952</v>
      </c>
      <c r="J615" s="5">
        <v>1346551.68</v>
      </c>
      <c r="K615" s="1" t="s">
        <v>3394</v>
      </c>
      <c r="L615" s="5">
        <v>6732.76</v>
      </c>
      <c r="M615" s="1" t="s">
        <v>2308</v>
      </c>
      <c r="N615" s="1" t="s">
        <v>3983</v>
      </c>
      <c r="O615" s="1" t="s">
        <v>2521</v>
      </c>
      <c r="P615" s="1" t="s">
        <v>2515</v>
      </c>
      <c r="Q615" s="1" t="s">
        <v>3426</v>
      </c>
      <c r="R615" s="1" t="s">
        <v>4078</v>
      </c>
      <c r="S615" s="1" t="s">
        <v>4971</v>
      </c>
      <c r="T615" s="6">
        <v>44593</v>
      </c>
      <c r="U615" s="6">
        <v>44593</v>
      </c>
      <c r="V615" s="7">
        <v>0.51116025665509257</v>
      </c>
      <c r="W615" s="6">
        <v>44609</v>
      </c>
      <c r="X615" s="7">
        <v>0</v>
      </c>
      <c r="Y615" s="8">
        <v>44609.505740740744</v>
      </c>
      <c r="Z615" s="5">
        <v>1700</v>
      </c>
      <c r="AA615" s="1" t="s">
        <v>3403</v>
      </c>
      <c r="AB615" s="1"/>
      <c r="AC615" s="1"/>
      <c r="AD615" s="1"/>
      <c r="AE615" s="1" t="s">
        <v>3765</v>
      </c>
      <c r="AF615" s="1" t="s">
        <v>9</v>
      </c>
      <c r="AG615" s="4">
        <v>10</v>
      </c>
      <c r="AH615" s="1"/>
      <c r="AI615" s="6">
        <v>44926</v>
      </c>
    </row>
    <row r="616" spans="1:35" x14ac:dyDescent="0.3">
      <c r="A616" s="1" t="s">
        <v>1632</v>
      </c>
      <c r="B616" s="2" t="str">
        <f>HYPERLINK("https://my.zakupki.prom.ua/remote/dispatcher/state_purchase_view/34687151")</f>
        <v>https://my.zakupki.prom.ua/remote/dispatcher/state_purchase_view/34687151</v>
      </c>
      <c r="C616" s="1" t="s">
        <v>3299</v>
      </c>
      <c r="D616" s="1" t="s">
        <v>474</v>
      </c>
      <c r="E616" s="4">
        <v>2940</v>
      </c>
      <c r="F616" s="5">
        <v>230</v>
      </c>
      <c r="G616" s="1" t="s">
        <v>4902</v>
      </c>
      <c r="H616" s="1" t="s">
        <v>674</v>
      </c>
      <c r="I616" s="1" t="s">
        <v>3396</v>
      </c>
      <c r="J616" s="5">
        <v>676200</v>
      </c>
      <c r="K616" s="1" t="s">
        <v>3394</v>
      </c>
      <c r="L616" s="5">
        <v>6762</v>
      </c>
      <c r="M616" s="1" t="s">
        <v>2308</v>
      </c>
      <c r="N616" s="1" t="s">
        <v>3983</v>
      </c>
      <c r="O616" s="1" t="s">
        <v>2521</v>
      </c>
      <c r="P616" s="1" t="s">
        <v>2515</v>
      </c>
      <c r="Q616" s="1" t="s">
        <v>3035</v>
      </c>
      <c r="R616" s="1" t="s">
        <v>4159</v>
      </c>
      <c r="S616" s="1" t="s">
        <v>4971</v>
      </c>
      <c r="T616" s="6">
        <v>44593</v>
      </c>
      <c r="U616" s="6">
        <v>44593</v>
      </c>
      <c r="V616" s="7">
        <v>0.5208189229398148</v>
      </c>
      <c r="W616" s="6">
        <v>44609</v>
      </c>
      <c r="X616" s="7">
        <v>0</v>
      </c>
      <c r="Y616" s="8">
        <v>44609.494351851848</v>
      </c>
      <c r="Z616" s="5">
        <v>510</v>
      </c>
      <c r="AA616" s="1" t="s">
        <v>3403</v>
      </c>
      <c r="AB616" s="1"/>
      <c r="AC616" s="1"/>
      <c r="AD616" s="1"/>
      <c r="AE616" s="1" t="s">
        <v>3788</v>
      </c>
      <c r="AF616" s="1" t="s">
        <v>9</v>
      </c>
      <c r="AG616" s="4">
        <v>13</v>
      </c>
      <c r="AH616" s="1"/>
      <c r="AI616" s="6">
        <v>44921</v>
      </c>
    </row>
    <row r="617" spans="1:35" x14ac:dyDescent="0.3">
      <c r="A617" s="1" t="s">
        <v>2013</v>
      </c>
      <c r="B617" s="2" t="str">
        <f>HYPERLINK("https://my.zakupki.prom.ua/remote/dispatcher/state_purchase_view/34687149")</f>
        <v>https://my.zakupki.prom.ua/remote/dispatcher/state_purchase_view/34687149</v>
      </c>
      <c r="C617" s="1" t="s">
        <v>2813</v>
      </c>
      <c r="D617" s="1" t="s">
        <v>387</v>
      </c>
      <c r="E617" s="4">
        <v>11256</v>
      </c>
      <c r="F617" s="5">
        <v>6.19</v>
      </c>
      <c r="G617" s="1" t="s">
        <v>4879</v>
      </c>
      <c r="H617" s="1" t="s">
        <v>366</v>
      </c>
      <c r="I617" s="1" t="s">
        <v>1197</v>
      </c>
      <c r="J617" s="5">
        <v>69670</v>
      </c>
      <c r="K617" s="1" t="s">
        <v>3394</v>
      </c>
      <c r="L617" s="5">
        <v>348.35</v>
      </c>
      <c r="M617" s="1" t="s">
        <v>2308</v>
      </c>
      <c r="N617" s="1" t="s">
        <v>3983</v>
      </c>
      <c r="O617" s="1" t="s">
        <v>2521</v>
      </c>
      <c r="P617" s="1" t="s">
        <v>2762</v>
      </c>
      <c r="Q617" s="1" t="s">
        <v>3970</v>
      </c>
      <c r="R617" s="1" t="s">
        <v>4444</v>
      </c>
      <c r="S617" s="1" t="s">
        <v>4937</v>
      </c>
      <c r="T617" s="6">
        <v>44593</v>
      </c>
      <c r="U617" s="6">
        <v>44599</v>
      </c>
      <c r="V617" s="7">
        <v>0.52326388888888886</v>
      </c>
      <c r="W617" s="6">
        <v>44602</v>
      </c>
      <c r="X617" s="7">
        <v>0.52326388888888886</v>
      </c>
      <c r="Y617" s="1" t="s">
        <v>4860</v>
      </c>
      <c r="Z617" s="5">
        <v>340</v>
      </c>
      <c r="AA617" s="1" t="s">
        <v>3403</v>
      </c>
      <c r="AB617" s="1"/>
      <c r="AC617" s="1"/>
      <c r="AD617" s="1"/>
      <c r="AE617" s="1" t="s">
        <v>3803</v>
      </c>
      <c r="AF617" s="1" t="s">
        <v>9</v>
      </c>
      <c r="AG617" s="1" t="s">
        <v>9</v>
      </c>
      <c r="AH617" s="1"/>
      <c r="AI617" s="6">
        <v>44834</v>
      </c>
    </row>
    <row r="618" spans="1:35" x14ac:dyDescent="0.3">
      <c r="A618" s="1" t="s">
        <v>2025</v>
      </c>
      <c r="B618" s="2" t="str">
        <f>HYPERLINK("https://my.zakupki.prom.ua/remote/dispatcher/state_purchase_view/34687127")</f>
        <v>https://my.zakupki.prom.ua/remote/dispatcher/state_purchase_view/34687127</v>
      </c>
      <c r="C618" s="1" t="s">
        <v>4918</v>
      </c>
      <c r="D618" s="1" t="s">
        <v>764</v>
      </c>
      <c r="E618" s="1" t="s">
        <v>4903</v>
      </c>
      <c r="F618" s="1" t="s">
        <v>4903</v>
      </c>
      <c r="G618" s="1" t="s">
        <v>4903</v>
      </c>
      <c r="H618" s="1" t="s">
        <v>116</v>
      </c>
      <c r="I618" s="1" t="s">
        <v>2874</v>
      </c>
      <c r="J618" s="5">
        <v>397905</v>
      </c>
      <c r="K618" s="1" t="s">
        <v>3394</v>
      </c>
      <c r="L618" s="5">
        <v>1989.53</v>
      </c>
      <c r="M618" s="1" t="s">
        <v>2308</v>
      </c>
      <c r="N618" s="1" t="s">
        <v>3403</v>
      </c>
      <c r="O618" s="1" t="s">
        <v>2521</v>
      </c>
      <c r="P618" s="1" t="s">
        <v>3956</v>
      </c>
      <c r="Q618" s="1" t="s">
        <v>4831</v>
      </c>
      <c r="R618" s="1" t="s">
        <v>4133</v>
      </c>
      <c r="S618" s="1" t="s">
        <v>4937</v>
      </c>
      <c r="T618" s="6">
        <v>44593</v>
      </c>
      <c r="U618" s="6">
        <v>44599</v>
      </c>
      <c r="V618" s="7">
        <v>0.45833333333333331</v>
      </c>
      <c r="W618" s="6">
        <v>44602</v>
      </c>
      <c r="X618" s="7">
        <v>0.41666666666666669</v>
      </c>
      <c r="Y618" s="1" t="s">
        <v>4860</v>
      </c>
      <c r="Z618" s="5">
        <v>510</v>
      </c>
      <c r="AA618" s="1" t="s">
        <v>3403</v>
      </c>
      <c r="AB618" s="1"/>
      <c r="AC618" s="1"/>
      <c r="AD618" s="1"/>
      <c r="AE618" s="1" t="s">
        <v>3788</v>
      </c>
      <c r="AF618" s="1" t="s">
        <v>9</v>
      </c>
      <c r="AG618" s="4">
        <v>1</v>
      </c>
      <c r="AH618" s="1"/>
      <c r="AI618" s="6">
        <v>44926</v>
      </c>
    </row>
    <row r="619" spans="1:35" x14ac:dyDescent="0.3">
      <c r="A619" s="1" t="s">
        <v>2023</v>
      </c>
      <c r="B619" s="2" t="str">
        <f>HYPERLINK("https://my.zakupki.prom.ua/remote/dispatcher/state_purchase_view/34687069")</f>
        <v>https://my.zakupki.prom.ua/remote/dispatcher/state_purchase_view/34687069</v>
      </c>
      <c r="C619" s="1" t="s">
        <v>4877</v>
      </c>
      <c r="D619" s="1" t="s">
        <v>1109</v>
      </c>
      <c r="E619" s="4">
        <v>145</v>
      </c>
      <c r="F619" s="5">
        <v>1372.41</v>
      </c>
      <c r="G619" s="1" t="s">
        <v>4991</v>
      </c>
      <c r="H619" s="1" t="s">
        <v>261</v>
      </c>
      <c r="I619" s="1" t="s">
        <v>2952</v>
      </c>
      <c r="J619" s="5">
        <v>199000</v>
      </c>
      <c r="K619" s="1" t="s">
        <v>3394</v>
      </c>
      <c r="L619" s="5">
        <v>995</v>
      </c>
      <c r="M619" s="1" t="s">
        <v>2308</v>
      </c>
      <c r="N619" s="1" t="s">
        <v>3983</v>
      </c>
      <c r="O619" s="1" t="s">
        <v>2521</v>
      </c>
      <c r="P619" s="1" t="s">
        <v>3956</v>
      </c>
      <c r="Q619" s="1" t="s">
        <v>4794</v>
      </c>
      <c r="R619" s="1" t="s">
        <v>4344</v>
      </c>
      <c r="S619" s="1" t="s">
        <v>4937</v>
      </c>
      <c r="T619" s="6">
        <v>44593</v>
      </c>
      <c r="U619" s="6">
        <v>44603</v>
      </c>
      <c r="V619" s="7">
        <v>0.52013888888888893</v>
      </c>
      <c r="W619" s="6">
        <v>44608</v>
      </c>
      <c r="X619" s="7">
        <v>0.52013888888888893</v>
      </c>
      <c r="Y619" s="1" t="s">
        <v>4860</v>
      </c>
      <c r="Z619" s="5">
        <v>340</v>
      </c>
      <c r="AA619" s="1" t="s">
        <v>3403</v>
      </c>
      <c r="AB619" s="1"/>
      <c r="AC619" s="1"/>
      <c r="AD619" s="1"/>
      <c r="AE619" s="1" t="s">
        <v>3789</v>
      </c>
      <c r="AF619" s="1" t="s">
        <v>9</v>
      </c>
      <c r="AG619" s="4">
        <v>20</v>
      </c>
      <c r="AH619" s="6">
        <v>44621</v>
      </c>
      <c r="AI619" s="6">
        <v>44926</v>
      </c>
    </row>
    <row r="620" spans="1:35" x14ac:dyDescent="0.3">
      <c r="A620" s="1" t="s">
        <v>2022</v>
      </c>
      <c r="B620" s="2" t="str">
        <f>HYPERLINK("https://my.zakupki.prom.ua/remote/dispatcher/state_purchase_view/34687057")</f>
        <v>https://my.zakupki.prom.ua/remote/dispatcher/state_purchase_view/34687057</v>
      </c>
      <c r="C620" s="1" t="s">
        <v>3440</v>
      </c>
      <c r="D620" s="1" t="s">
        <v>455</v>
      </c>
      <c r="E620" s="4">
        <v>2052</v>
      </c>
      <c r="F620" s="5">
        <v>72</v>
      </c>
      <c r="G620" s="1" t="s">
        <v>4901</v>
      </c>
      <c r="H620" s="1" t="s">
        <v>191</v>
      </c>
      <c r="I620" s="1" t="s">
        <v>3208</v>
      </c>
      <c r="J620" s="5">
        <v>147744</v>
      </c>
      <c r="K620" s="1" t="s">
        <v>3394</v>
      </c>
      <c r="L620" s="5">
        <v>738.72</v>
      </c>
      <c r="M620" s="1" t="s">
        <v>2308</v>
      </c>
      <c r="N620" s="1" t="s">
        <v>3983</v>
      </c>
      <c r="O620" s="1" t="s">
        <v>2521</v>
      </c>
      <c r="P620" s="1" t="s">
        <v>3956</v>
      </c>
      <c r="Q620" s="1" t="s">
        <v>4798</v>
      </c>
      <c r="R620" s="1" t="s">
        <v>4678</v>
      </c>
      <c r="S620" s="1" t="s">
        <v>4937</v>
      </c>
      <c r="T620" s="6">
        <v>44593</v>
      </c>
      <c r="U620" s="6">
        <v>44600</v>
      </c>
      <c r="V620" s="7">
        <v>0.52222222222222225</v>
      </c>
      <c r="W620" s="6">
        <v>44603</v>
      </c>
      <c r="X620" s="7">
        <v>0.52222222222222225</v>
      </c>
      <c r="Y620" s="1" t="s">
        <v>4860</v>
      </c>
      <c r="Z620" s="5">
        <v>340</v>
      </c>
      <c r="AA620" s="1" t="s">
        <v>3403</v>
      </c>
      <c r="AB620" s="1"/>
      <c r="AC620" s="1"/>
      <c r="AD620" s="1"/>
      <c r="AE620" s="1" t="s">
        <v>3767</v>
      </c>
      <c r="AF620" s="1" t="s">
        <v>9</v>
      </c>
      <c r="AG620" s="4">
        <v>31</v>
      </c>
      <c r="AH620" s="1"/>
      <c r="AI620" s="6">
        <v>44926</v>
      </c>
    </row>
    <row r="621" spans="1:35" x14ac:dyDescent="0.3">
      <c r="A621" s="1" t="s">
        <v>2021</v>
      </c>
      <c r="B621" s="2" t="str">
        <f>HYPERLINK("https://my.zakupki.prom.ua/remote/dispatcher/state_purchase_view/34687024")</f>
        <v>https://my.zakupki.prom.ua/remote/dispatcher/state_purchase_view/34687024</v>
      </c>
      <c r="C621" s="1" t="s">
        <v>3917</v>
      </c>
      <c r="D621" s="1" t="s">
        <v>475</v>
      </c>
      <c r="E621" s="4">
        <v>200</v>
      </c>
      <c r="F621" s="5">
        <v>235</v>
      </c>
      <c r="G621" s="1" t="s">
        <v>4901</v>
      </c>
      <c r="H621" s="1" t="s">
        <v>130</v>
      </c>
      <c r="I621" s="1" t="s">
        <v>3980</v>
      </c>
      <c r="J621" s="5">
        <v>47000</v>
      </c>
      <c r="K621" s="1" t="s">
        <v>3394</v>
      </c>
      <c r="L621" s="5">
        <v>235</v>
      </c>
      <c r="M621" s="1" t="s">
        <v>2308</v>
      </c>
      <c r="N621" s="1" t="s">
        <v>3983</v>
      </c>
      <c r="O621" s="1" t="s">
        <v>2521</v>
      </c>
      <c r="P621" s="1" t="s">
        <v>3956</v>
      </c>
      <c r="Q621" s="1" t="s">
        <v>3992</v>
      </c>
      <c r="R621" s="1" t="s">
        <v>4637</v>
      </c>
      <c r="S621" s="1" t="s">
        <v>4937</v>
      </c>
      <c r="T621" s="6">
        <v>44593</v>
      </c>
      <c r="U621" s="6">
        <v>44599</v>
      </c>
      <c r="V621" s="7">
        <v>0.52083333333333337</v>
      </c>
      <c r="W621" s="6">
        <v>44602</v>
      </c>
      <c r="X621" s="7">
        <v>0.52083333333333337</v>
      </c>
      <c r="Y621" s="1" t="s">
        <v>4860</v>
      </c>
      <c r="Z621" s="5">
        <v>119</v>
      </c>
      <c r="AA621" s="1" t="s">
        <v>3403</v>
      </c>
      <c r="AB621" s="1"/>
      <c r="AC621" s="1"/>
      <c r="AD621" s="1"/>
      <c r="AE621" s="1" t="s">
        <v>3801</v>
      </c>
      <c r="AF621" s="1" t="s">
        <v>9</v>
      </c>
      <c r="AG621" s="4">
        <v>20</v>
      </c>
      <c r="AH621" s="6">
        <v>44606</v>
      </c>
      <c r="AI621" s="6">
        <v>44926</v>
      </c>
    </row>
    <row r="622" spans="1:35" x14ac:dyDescent="0.3">
      <c r="A622" s="1" t="s">
        <v>2020</v>
      </c>
      <c r="B622" s="2" t="str">
        <f>HYPERLINK("https://my.zakupki.prom.ua/remote/dispatcher/state_purchase_view/34686526")</f>
        <v>https://my.zakupki.prom.ua/remote/dispatcher/state_purchase_view/34686526</v>
      </c>
      <c r="C622" s="1" t="s">
        <v>3561</v>
      </c>
      <c r="D622" s="1" t="s">
        <v>1261</v>
      </c>
      <c r="E622" s="4">
        <v>1210</v>
      </c>
      <c r="F622" s="5">
        <v>105.67</v>
      </c>
      <c r="G622" s="1" t="s">
        <v>4940</v>
      </c>
      <c r="H622" s="1" t="s">
        <v>45</v>
      </c>
      <c r="I622" s="1" t="s">
        <v>2869</v>
      </c>
      <c r="J622" s="5">
        <v>127865</v>
      </c>
      <c r="K622" s="1" t="s">
        <v>3394</v>
      </c>
      <c r="L622" s="5">
        <v>639.33000000000004</v>
      </c>
      <c r="M622" s="1" t="s">
        <v>2308</v>
      </c>
      <c r="N622" s="1" t="s">
        <v>3983</v>
      </c>
      <c r="O622" s="1" t="s">
        <v>2521</v>
      </c>
      <c r="P622" s="1" t="s">
        <v>2515</v>
      </c>
      <c r="Q622" s="1" t="s">
        <v>2528</v>
      </c>
      <c r="R622" s="1" t="s">
        <v>4195</v>
      </c>
      <c r="S622" s="1" t="s">
        <v>4971</v>
      </c>
      <c r="T622" s="6">
        <v>44593</v>
      </c>
      <c r="U622" s="6">
        <v>44593</v>
      </c>
      <c r="V622" s="7">
        <v>0.52199856467592598</v>
      </c>
      <c r="W622" s="6">
        <v>44609</v>
      </c>
      <c r="X622" s="7">
        <v>0.75</v>
      </c>
      <c r="Y622" s="8">
        <v>44610.48510416667</v>
      </c>
      <c r="Z622" s="5">
        <v>340</v>
      </c>
      <c r="AA622" s="1" t="s">
        <v>3403</v>
      </c>
      <c r="AB622" s="1"/>
      <c r="AC622" s="1"/>
      <c r="AD622" s="1"/>
      <c r="AE622" s="1" t="s">
        <v>3729</v>
      </c>
      <c r="AF622" s="1" t="s">
        <v>9</v>
      </c>
      <c r="AG622" s="4">
        <v>10</v>
      </c>
      <c r="AH622" s="1"/>
      <c r="AI622" s="6">
        <v>44926</v>
      </c>
    </row>
    <row r="623" spans="1:35" x14ac:dyDescent="0.3">
      <c r="A623" s="1" t="s">
        <v>2019</v>
      </c>
      <c r="B623" s="2" t="str">
        <f>HYPERLINK("https://my.zakupki.prom.ua/remote/dispatcher/state_purchase_view/34687007")</f>
        <v>https://my.zakupki.prom.ua/remote/dispatcher/state_purchase_view/34687007</v>
      </c>
      <c r="C623" s="1" t="s">
        <v>4916</v>
      </c>
      <c r="D623" s="1" t="s">
        <v>694</v>
      </c>
      <c r="E623" s="1" t="s">
        <v>4903</v>
      </c>
      <c r="F623" s="1" t="s">
        <v>4903</v>
      </c>
      <c r="G623" s="1" t="s">
        <v>4903</v>
      </c>
      <c r="H623" s="1" t="s">
        <v>105</v>
      </c>
      <c r="I623" s="1" t="s">
        <v>2885</v>
      </c>
      <c r="J623" s="5">
        <v>152000</v>
      </c>
      <c r="K623" s="1" t="s">
        <v>3394</v>
      </c>
      <c r="L623" s="5">
        <v>760</v>
      </c>
      <c r="M623" s="1" t="s">
        <v>2308</v>
      </c>
      <c r="N623" s="1" t="s">
        <v>3983</v>
      </c>
      <c r="O623" s="1" t="s">
        <v>2521</v>
      </c>
      <c r="P623" s="1" t="s">
        <v>2515</v>
      </c>
      <c r="Q623" s="1" t="s">
        <v>4794</v>
      </c>
      <c r="R623" s="1" t="s">
        <v>4372</v>
      </c>
      <c r="S623" s="1" t="s">
        <v>4971</v>
      </c>
      <c r="T623" s="6">
        <v>44593</v>
      </c>
      <c r="U623" s="6">
        <v>44593</v>
      </c>
      <c r="V623" s="7">
        <v>0.52184525967592599</v>
      </c>
      <c r="W623" s="6">
        <v>44609</v>
      </c>
      <c r="X623" s="7">
        <v>0.41666666666666669</v>
      </c>
      <c r="Y623" s="8">
        <v>44610.4766087963</v>
      </c>
      <c r="Z623" s="5">
        <v>340</v>
      </c>
      <c r="AA623" s="1" t="s">
        <v>3403</v>
      </c>
      <c r="AB623" s="1"/>
      <c r="AC623" s="1"/>
      <c r="AD623" s="1"/>
      <c r="AE623" s="1" t="s">
        <v>3765</v>
      </c>
      <c r="AF623" s="1" t="s">
        <v>9</v>
      </c>
      <c r="AG623" s="4">
        <v>3</v>
      </c>
      <c r="AH623" s="1"/>
      <c r="AI623" s="6">
        <v>44742</v>
      </c>
    </row>
    <row r="624" spans="1:35" x14ac:dyDescent="0.3">
      <c r="A624" s="1" t="s">
        <v>2018</v>
      </c>
      <c r="B624" s="2" t="str">
        <f>HYPERLINK("https://my.zakupki.prom.ua/remote/dispatcher/state_purchase_view/34684354")</f>
        <v>https://my.zakupki.prom.ua/remote/dispatcher/state_purchase_view/34684354</v>
      </c>
      <c r="C624" s="1" t="s">
        <v>3523</v>
      </c>
      <c r="D624" s="1" t="s">
        <v>1260</v>
      </c>
      <c r="E624" s="4">
        <v>1250</v>
      </c>
      <c r="F624" s="5">
        <v>275.36</v>
      </c>
      <c r="G624" s="1" t="s">
        <v>4940</v>
      </c>
      <c r="H624" s="1" t="s">
        <v>45</v>
      </c>
      <c r="I624" s="1" t="s">
        <v>2869</v>
      </c>
      <c r="J624" s="5">
        <v>344200</v>
      </c>
      <c r="K624" s="1" t="s">
        <v>3394</v>
      </c>
      <c r="L624" s="5">
        <v>1721</v>
      </c>
      <c r="M624" s="1" t="s">
        <v>2308</v>
      </c>
      <c r="N624" s="1" t="s">
        <v>3983</v>
      </c>
      <c r="O624" s="1" t="s">
        <v>2521</v>
      </c>
      <c r="P624" s="1" t="s">
        <v>2515</v>
      </c>
      <c r="Q624" s="1" t="s">
        <v>2528</v>
      </c>
      <c r="R624" s="1" t="s">
        <v>4430</v>
      </c>
      <c r="S624" s="1" t="s">
        <v>4971</v>
      </c>
      <c r="T624" s="6">
        <v>44593</v>
      </c>
      <c r="U624" s="6">
        <v>44593</v>
      </c>
      <c r="V624" s="7">
        <v>0.52170478363425921</v>
      </c>
      <c r="W624" s="6">
        <v>44609</v>
      </c>
      <c r="X624" s="7">
        <v>0.75</v>
      </c>
      <c r="Y624" s="8">
        <v>44610.516157407408</v>
      </c>
      <c r="Z624" s="5">
        <v>510</v>
      </c>
      <c r="AA624" s="1" t="s">
        <v>3403</v>
      </c>
      <c r="AB624" s="1"/>
      <c r="AC624" s="1"/>
      <c r="AD624" s="1"/>
      <c r="AE624" s="1" t="s">
        <v>3729</v>
      </c>
      <c r="AF624" s="1" t="s">
        <v>9</v>
      </c>
      <c r="AG624" s="4">
        <v>10</v>
      </c>
      <c r="AH624" s="1"/>
      <c r="AI624" s="6">
        <v>44926</v>
      </c>
    </row>
    <row r="625" spans="1:35" x14ac:dyDescent="0.3">
      <c r="A625" s="1" t="s">
        <v>1624</v>
      </c>
      <c r="B625" s="2" t="str">
        <f>HYPERLINK("https://my.zakupki.prom.ua/remote/dispatcher/state_purchase_view/34686856")</f>
        <v>https://my.zakupki.prom.ua/remote/dispatcher/state_purchase_view/34686856</v>
      </c>
      <c r="C625" s="1" t="s">
        <v>4793</v>
      </c>
      <c r="D625" s="1" t="s">
        <v>764</v>
      </c>
      <c r="E625" s="1" t="s">
        <v>4903</v>
      </c>
      <c r="F625" s="1" t="s">
        <v>4903</v>
      </c>
      <c r="G625" s="1" t="s">
        <v>4903</v>
      </c>
      <c r="H625" s="1" t="s">
        <v>230</v>
      </c>
      <c r="I625" s="1" t="s">
        <v>3122</v>
      </c>
      <c r="J625" s="5">
        <v>38500</v>
      </c>
      <c r="K625" s="1" t="s">
        <v>3394</v>
      </c>
      <c r="L625" s="5">
        <v>192.5</v>
      </c>
      <c r="M625" s="1" t="s">
        <v>2308</v>
      </c>
      <c r="N625" s="1" t="s">
        <v>3983</v>
      </c>
      <c r="O625" s="1" t="s">
        <v>2521</v>
      </c>
      <c r="P625" s="1" t="s">
        <v>3956</v>
      </c>
      <c r="Q625" s="1" t="s">
        <v>4794</v>
      </c>
      <c r="R625" s="1" t="s">
        <v>4698</v>
      </c>
      <c r="S625" s="1" t="s">
        <v>4937</v>
      </c>
      <c r="T625" s="6">
        <v>44593</v>
      </c>
      <c r="U625" s="6">
        <v>44599</v>
      </c>
      <c r="V625" s="7">
        <v>0.45833333333333331</v>
      </c>
      <c r="W625" s="6">
        <v>44602</v>
      </c>
      <c r="X625" s="7">
        <v>0.5</v>
      </c>
      <c r="Y625" s="1" t="s">
        <v>4860</v>
      </c>
      <c r="Z625" s="5">
        <v>119</v>
      </c>
      <c r="AA625" s="1" t="s">
        <v>3403</v>
      </c>
      <c r="AB625" s="1"/>
      <c r="AC625" s="1"/>
      <c r="AD625" s="1"/>
      <c r="AE625" s="1" t="s">
        <v>3765</v>
      </c>
      <c r="AF625" s="1" t="s">
        <v>9</v>
      </c>
      <c r="AG625" s="1" t="s">
        <v>9</v>
      </c>
      <c r="AH625" s="1"/>
      <c r="AI625" s="6">
        <v>44620</v>
      </c>
    </row>
    <row r="626" spans="1:35" x14ac:dyDescent="0.3">
      <c r="A626" s="1" t="s">
        <v>2015</v>
      </c>
      <c r="B626" s="2" t="str">
        <f>HYPERLINK("https://my.zakupki.prom.ua/remote/dispatcher/state_purchase_view/34686767")</f>
        <v>https://my.zakupki.prom.ua/remote/dispatcher/state_purchase_view/34686767</v>
      </c>
      <c r="C626" s="1" t="s">
        <v>2608</v>
      </c>
      <c r="D626" s="1" t="s">
        <v>373</v>
      </c>
      <c r="E626" s="1" t="s">
        <v>4903</v>
      </c>
      <c r="F626" s="1" t="s">
        <v>4903</v>
      </c>
      <c r="G626" s="1" t="s">
        <v>4903</v>
      </c>
      <c r="H626" s="1" t="s">
        <v>670</v>
      </c>
      <c r="I626" s="1" t="s">
        <v>3880</v>
      </c>
      <c r="J626" s="5">
        <v>184485</v>
      </c>
      <c r="K626" s="1" t="s">
        <v>3394</v>
      </c>
      <c r="L626" s="5">
        <v>922.43</v>
      </c>
      <c r="M626" s="1" t="s">
        <v>2308</v>
      </c>
      <c r="N626" s="1" t="s">
        <v>3983</v>
      </c>
      <c r="O626" s="1" t="s">
        <v>2521</v>
      </c>
      <c r="P626" s="1" t="s">
        <v>3956</v>
      </c>
      <c r="Q626" s="1" t="s">
        <v>2528</v>
      </c>
      <c r="R626" s="1" t="s">
        <v>4130</v>
      </c>
      <c r="S626" s="1" t="s">
        <v>4937</v>
      </c>
      <c r="T626" s="6">
        <v>44593</v>
      </c>
      <c r="U626" s="6">
        <v>44599</v>
      </c>
      <c r="V626" s="7">
        <v>0</v>
      </c>
      <c r="W626" s="6">
        <v>44602</v>
      </c>
      <c r="X626" s="7">
        <v>0.95833333333333337</v>
      </c>
      <c r="Y626" s="1" t="s">
        <v>4860</v>
      </c>
      <c r="Z626" s="5">
        <v>340</v>
      </c>
      <c r="AA626" s="1" t="s">
        <v>3403</v>
      </c>
      <c r="AB626" s="1"/>
      <c r="AC626" s="1"/>
      <c r="AD626" s="1"/>
      <c r="AE626" s="1" t="s">
        <v>3787</v>
      </c>
      <c r="AF626" s="1" t="s">
        <v>9</v>
      </c>
      <c r="AG626" s="1" t="s">
        <v>9</v>
      </c>
      <c r="AH626" s="6">
        <v>44613</v>
      </c>
      <c r="AI626" s="6">
        <v>44926</v>
      </c>
    </row>
    <row r="627" spans="1:35" x14ac:dyDescent="0.3">
      <c r="A627" s="1" t="s">
        <v>1625</v>
      </c>
      <c r="B627" s="2" t="str">
        <f>HYPERLINK("https://my.zakupki.prom.ua/remote/dispatcher/state_purchase_view/34686742")</f>
        <v>https://my.zakupki.prom.ua/remote/dispatcher/state_purchase_view/34686742</v>
      </c>
      <c r="C627" s="1" t="s">
        <v>2381</v>
      </c>
      <c r="D627" s="1" t="s">
        <v>173</v>
      </c>
      <c r="E627" s="4">
        <v>3200</v>
      </c>
      <c r="F627" s="5">
        <v>109.8</v>
      </c>
      <c r="G627" s="1" t="s">
        <v>4991</v>
      </c>
      <c r="H627" s="1" t="s">
        <v>739</v>
      </c>
      <c r="I627" s="1" t="s">
        <v>2949</v>
      </c>
      <c r="J627" s="5">
        <v>351360</v>
      </c>
      <c r="K627" s="1" t="s">
        <v>3394</v>
      </c>
      <c r="L627" s="5">
        <v>1756.8</v>
      </c>
      <c r="M627" s="1" t="s">
        <v>2308</v>
      </c>
      <c r="N627" s="1" t="s">
        <v>3983</v>
      </c>
      <c r="O627" s="1" t="s">
        <v>2521</v>
      </c>
      <c r="P627" s="1" t="s">
        <v>2515</v>
      </c>
      <c r="Q627" s="1" t="s">
        <v>3035</v>
      </c>
      <c r="R627" s="1" t="s">
        <v>4081</v>
      </c>
      <c r="S627" s="1" t="s">
        <v>4971</v>
      </c>
      <c r="T627" s="6">
        <v>44593</v>
      </c>
      <c r="U627" s="6">
        <v>44593</v>
      </c>
      <c r="V627" s="7">
        <v>0.51774773590277778</v>
      </c>
      <c r="W627" s="6">
        <v>44609</v>
      </c>
      <c r="X627" s="7">
        <v>0</v>
      </c>
      <c r="Y627" s="8">
        <v>44609.469814814816</v>
      </c>
      <c r="Z627" s="5">
        <v>510</v>
      </c>
      <c r="AA627" s="1" t="s">
        <v>3403</v>
      </c>
      <c r="AB627" s="1"/>
      <c r="AC627" s="1"/>
      <c r="AD627" s="1"/>
      <c r="AE627" s="1" t="s">
        <v>3787</v>
      </c>
      <c r="AF627" s="1" t="s">
        <v>9</v>
      </c>
      <c r="AG627" s="4">
        <v>12</v>
      </c>
      <c r="AH627" s="1"/>
      <c r="AI627" s="6">
        <v>44712</v>
      </c>
    </row>
    <row r="628" spans="1:35" x14ac:dyDescent="0.3">
      <c r="A628" s="1" t="s">
        <v>1630</v>
      </c>
      <c r="B628" s="2" t="str">
        <f>HYPERLINK("https://my.zakupki.prom.ua/remote/dispatcher/state_purchase_view/34686735")</f>
        <v>https://my.zakupki.prom.ua/remote/dispatcher/state_purchase_view/34686735</v>
      </c>
      <c r="C628" s="1" t="s">
        <v>3330</v>
      </c>
      <c r="D628" s="1" t="s">
        <v>471</v>
      </c>
      <c r="E628" s="4">
        <v>1925</v>
      </c>
      <c r="F628" s="5">
        <v>28.05</v>
      </c>
      <c r="G628" s="1" t="s">
        <v>4904</v>
      </c>
      <c r="H628" s="1" t="s">
        <v>950</v>
      </c>
      <c r="I628" s="1" t="s">
        <v>2954</v>
      </c>
      <c r="J628" s="5">
        <v>54000</v>
      </c>
      <c r="K628" s="1" t="s">
        <v>3394</v>
      </c>
      <c r="L628" s="5">
        <v>540</v>
      </c>
      <c r="M628" s="1" t="s">
        <v>2308</v>
      </c>
      <c r="N628" s="1" t="s">
        <v>3983</v>
      </c>
      <c r="O628" s="1" t="s">
        <v>2521</v>
      </c>
      <c r="P628" s="1" t="s">
        <v>3956</v>
      </c>
      <c r="Q628" s="1" t="s">
        <v>3035</v>
      </c>
      <c r="R628" s="1" t="s">
        <v>4081</v>
      </c>
      <c r="S628" s="1" t="s">
        <v>4937</v>
      </c>
      <c r="T628" s="6">
        <v>44593</v>
      </c>
      <c r="U628" s="6">
        <v>44599</v>
      </c>
      <c r="V628" s="7">
        <v>0.375</v>
      </c>
      <c r="W628" s="6">
        <v>44602</v>
      </c>
      <c r="X628" s="7">
        <v>0</v>
      </c>
      <c r="Y628" s="1" t="s">
        <v>4860</v>
      </c>
      <c r="Z628" s="5">
        <v>340</v>
      </c>
      <c r="AA628" s="1" t="s">
        <v>3403</v>
      </c>
      <c r="AB628" s="1"/>
      <c r="AC628" s="1"/>
      <c r="AD628" s="1"/>
      <c r="AE628" s="1" t="s">
        <v>3768</v>
      </c>
      <c r="AF628" s="1" t="s">
        <v>9</v>
      </c>
      <c r="AG628" s="1" t="s">
        <v>9</v>
      </c>
      <c r="AH628" s="6">
        <v>44613</v>
      </c>
      <c r="AI628" s="6">
        <v>44926</v>
      </c>
    </row>
    <row r="629" spans="1:35" x14ac:dyDescent="0.3">
      <c r="A629" s="1" t="s">
        <v>1628</v>
      </c>
      <c r="B629" s="2" t="str">
        <f>HYPERLINK("https://my.zakupki.prom.ua/remote/dispatcher/state_purchase_view/34686704")</f>
        <v>https://my.zakupki.prom.ua/remote/dispatcher/state_purchase_view/34686704</v>
      </c>
      <c r="C629" s="1" t="s">
        <v>800</v>
      </c>
      <c r="D629" s="1" t="s">
        <v>801</v>
      </c>
      <c r="E629" s="1" t="s">
        <v>4903</v>
      </c>
      <c r="F629" s="1" t="s">
        <v>4903</v>
      </c>
      <c r="G629" s="1" t="s">
        <v>4903</v>
      </c>
      <c r="H629" s="1" t="s">
        <v>58</v>
      </c>
      <c r="I629" s="1" t="s">
        <v>3167</v>
      </c>
      <c r="J629" s="5">
        <v>200585</v>
      </c>
      <c r="K629" s="1" t="s">
        <v>3394</v>
      </c>
      <c r="L629" s="5">
        <v>2005</v>
      </c>
      <c r="M629" s="1" t="s">
        <v>2308</v>
      </c>
      <c r="N629" s="1" t="s">
        <v>3983</v>
      </c>
      <c r="O629" s="1" t="s">
        <v>2521</v>
      </c>
      <c r="P629" s="1" t="s">
        <v>2515</v>
      </c>
      <c r="Q629" s="1" t="s">
        <v>2756</v>
      </c>
      <c r="R629" s="1" t="s">
        <v>4081</v>
      </c>
      <c r="S629" s="1" t="s">
        <v>4971</v>
      </c>
      <c r="T629" s="6">
        <v>44593</v>
      </c>
      <c r="U629" s="6">
        <v>44593</v>
      </c>
      <c r="V629" s="7">
        <v>0.51961980184027778</v>
      </c>
      <c r="W629" s="6">
        <v>44609</v>
      </c>
      <c r="X629" s="7">
        <v>0.625</v>
      </c>
      <c r="Y629" s="8">
        <v>44610.617858796293</v>
      </c>
      <c r="Z629" s="5">
        <v>510</v>
      </c>
      <c r="AA629" s="1" t="s">
        <v>3403</v>
      </c>
      <c r="AB629" s="1"/>
      <c r="AC629" s="1"/>
      <c r="AD629" s="1"/>
      <c r="AE629" s="1" t="s">
        <v>3765</v>
      </c>
      <c r="AF629" s="1" t="s">
        <v>9</v>
      </c>
      <c r="AG629" s="4">
        <v>8</v>
      </c>
      <c r="AH629" s="1"/>
      <c r="AI629" s="6">
        <v>44926</v>
      </c>
    </row>
    <row r="630" spans="1:35" x14ac:dyDescent="0.3">
      <c r="A630" s="1" t="s">
        <v>1382</v>
      </c>
      <c r="B630" s="2" t="str">
        <f>HYPERLINK("https://my.zakupki.prom.ua/remote/dispatcher/state_purchase_view/34686702")</f>
        <v>https://my.zakupki.prom.ua/remote/dispatcher/state_purchase_view/34686702</v>
      </c>
      <c r="C630" s="1" t="s">
        <v>3582</v>
      </c>
      <c r="D630" s="1" t="s">
        <v>1181</v>
      </c>
      <c r="E630" s="4">
        <v>1</v>
      </c>
      <c r="F630" s="5">
        <v>100000</v>
      </c>
      <c r="G630" s="1" t="s">
        <v>4940</v>
      </c>
      <c r="H630" s="1" t="s">
        <v>167</v>
      </c>
      <c r="I630" s="1" t="s">
        <v>3085</v>
      </c>
      <c r="J630" s="5">
        <v>100000</v>
      </c>
      <c r="K630" s="1" t="s">
        <v>3394</v>
      </c>
      <c r="L630" s="5">
        <v>500</v>
      </c>
      <c r="M630" s="1" t="s">
        <v>2308</v>
      </c>
      <c r="N630" s="1" t="s">
        <v>3983</v>
      </c>
      <c r="O630" s="1" t="s">
        <v>2521</v>
      </c>
      <c r="P630" s="1" t="s">
        <v>3956</v>
      </c>
      <c r="Q630" s="1" t="s">
        <v>4834</v>
      </c>
      <c r="R630" s="1" t="s">
        <v>4345</v>
      </c>
      <c r="S630" s="1" t="s">
        <v>4937</v>
      </c>
      <c r="T630" s="6">
        <v>44593</v>
      </c>
      <c r="U630" s="6">
        <v>44599</v>
      </c>
      <c r="V630" s="7">
        <v>0.5</v>
      </c>
      <c r="W630" s="6">
        <v>44602</v>
      </c>
      <c r="X630" s="7">
        <v>0.45833333333333331</v>
      </c>
      <c r="Y630" s="1" t="s">
        <v>4860</v>
      </c>
      <c r="Z630" s="5">
        <v>340</v>
      </c>
      <c r="AA630" s="1" t="s">
        <v>3403</v>
      </c>
      <c r="AB630" s="1"/>
      <c r="AC630" s="1"/>
      <c r="AD630" s="1"/>
      <c r="AE630" s="1" t="s">
        <v>3727</v>
      </c>
      <c r="AF630" s="1" t="s">
        <v>9</v>
      </c>
      <c r="AG630" s="4">
        <v>8</v>
      </c>
      <c r="AH630" s="1"/>
      <c r="AI630" s="6">
        <v>44926</v>
      </c>
    </row>
    <row r="631" spans="1:35" x14ac:dyDescent="0.3">
      <c r="A631" s="1" t="s">
        <v>2011</v>
      </c>
      <c r="B631" s="2" t="str">
        <f>HYPERLINK("https://my.zakupki.prom.ua/remote/dispatcher/state_purchase_view/34686697")</f>
        <v>https://my.zakupki.prom.ua/remote/dispatcher/state_purchase_view/34686697</v>
      </c>
      <c r="C631" s="1" t="s">
        <v>2639</v>
      </c>
      <c r="D631" s="1" t="s">
        <v>456</v>
      </c>
      <c r="E631" s="4">
        <v>66</v>
      </c>
      <c r="F631" s="5">
        <v>198.39</v>
      </c>
      <c r="G631" s="1" t="s">
        <v>4883</v>
      </c>
      <c r="H631" s="1" t="s">
        <v>421</v>
      </c>
      <c r="I631" s="1" t="s">
        <v>2736</v>
      </c>
      <c r="J631" s="5">
        <v>13093.74</v>
      </c>
      <c r="K631" s="1" t="s">
        <v>3394</v>
      </c>
      <c r="L631" s="5">
        <v>65.47</v>
      </c>
      <c r="M631" s="1" t="s">
        <v>2308</v>
      </c>
      <c r="N631" s="1" t="s">
        <v>3983</v>
      </c>
      <c r="O631" s="1" t="s">
        <v>2521</v>
      </c>
      <c r="P631" s="1" t="s">
        <v>2762</v>
      </c>
      <c r="Q631" s="1" t="s">
        <v>3035</v>
      </c>
      <c r="R631" s="1" t="s">
        <v>4081</v>
      </c>
      <c r="S631" s="1" t="s">
        <v>4937</v>
      </c>
      <c r="T631" s="6">
        <v>44593</v>
      </c>
      <c r="U631" s="6">
        <v>44599</v>
      </c>
      <c r="V631" s="7">
        <v>0.375</v>
      </c>
      <c r="W631" s="6">
        <v>44602</v>
      </c>
      <c r="X631" s="7">
        <v>0.375</v>
      </c>
      <c r="Y631" s="1" t="s">
        <v>4860</v>
      </c>
      <c r="Z631" s="5">
        <v>17</v>
      </c>
      <c r="AA631" s="1" t="s">
        <v>3403</v>
      </c>
      <c r="AB631" s="1"/>
      <c r="AC631" s="1"/>
      <c r="AD631" s="1"/>
      <c r="AE631" s="1" t="s">
        <v>3799</v>
      </c>
      <c r="AF631" s="1" t="s">
        <v>9</v>
      </c>
      <c r="AG631" s="4">
        <v>56</v>
      </c>
      <c r="AH631" s="1"/>
      <c r="AI631" s="6">
        <v>44926</v>
      </c>
    </row>
    <row r="632" spans="1:35" x14ac:dyDescent="0.3">
      <c r="A632" s="1" t="s">
        <v>1318</v>
      </c>
      <c r="B632" s="2" t="str">
        <f>HYPERLINK("https://my.zakupki.prom.ua/remote/dispatcher/state_purchase_view/34686687")</f>
        <v>https://my.zakupki.prom.ua/remote/dispatcher/state_purchase_view/34686687</v>
      </c>
      <c r="C632" s="1" t="s">
        <v>2773</v>
      </c>
      <c r="D632" s="1" t="s">
        <v>583</v>
      </c>
      <c r="E632" s="1" t="s">
        <v>4903</v>
      </c>
      <c r="F632" s="1" t="s">
        <v>4903</v>
      </c>
      <c r="G632" s="1" t="s">
        <v>4903</v>
      </c>
      <c r="H632" s="1" t="s">
        <v>234</v>
      </c>
      <c r="I632" s="1" t="s">
        <v>2821</v>
      </c>
      <c r="J632" s="5">
        <v>475200</v>
      </c>
      <c r="K632" s="1" t="s">
        <v>3394</v>
      </c>
      <c r="L632" s="5">
        <v>2500</v>
      </c>
      <c r="M632" s="1" t="s">
        <v>2308</v>
      </c>
      <c r="N632" s="1" t="s">
        <v>3983</v>
      </c>
      <c r="O632" s="1" t="s">
        <v>2521</v>
      </c>
      <c r="P632" s="1" t="s">
        <v>3956</v>
      </c>
      <c r="Q632" s="1" t="s">
        <v>2820</v>
      </c>
      <c r="R632" s="1" t="s">
        <v>4458</v>
      </c>
      <c r="S632" s="1" t="s">
        <v>4937</v>
      </c>
      <c r="T632" s="6">
        <v>44593</v>
      </c>
      <c r="U632" s="6">
        <v>44597</v>
      </c>
      <c r="V632" s="7">
        <v>0</v>
      </c>
      <c r="W632" s="6">
        <v>44601</v>
      </c>
      <c r="X632" s="7">
        <v>0</v>
      </c>
      <c r="Y632" s="1" t="s">
        <v>4860</v>
      </c>
      <c r="Z632" s="5">
        <v>510</v>
      </c>
      <c r="AA632" s="1" t="s">
        <v>3403</v>
      </c>
      <c r="AB632" s="1"/>
      <c r="AC632" s="1"/>
      <c r="AD632" s="1"/>
      <c r="AE632" s="1" t="s">
        <v>3750</v>
      </c>
      <c r="AF632" s="1" t="s">
        <v>9</v>
      </c>
      <c r="AG632" s="4">
        <v>37</v>
      </c>
      <c r="AH632" s="1"/>
      <c r="AI632" s="6">
        <v>44926</v>
      </c>
    </row>
    <row r="633" spans="1:35" x14ac:dyDescent="0.3">
      <c r="A633" s="1" t="s">
        <v>1384</v>
      </c>
      <c r="B633" s="2" t="str">
        <f>HYPERLINK("https://my.zakupki.prom.ua/remote/dispatcher/state_purchase_view/34686672")</f>
        <v>https://my.zakupki.prom.ua/remote/dispatcher/state_purchase_view/34686672</v>
      </c>
      <c r="C633" s="1" t="s">
        <v>3518</v>
      </c>
      <c r="D633" s="1" t="s">
        <v>1284</v>
      </c>
      <c r="E633" s="4">
        <v>46</v>
      </c>
      <c r="F633" s="5">
        <v>177.52</v>
      </c>
      <c r="G633" s="1" t="s">
        <v>4914</v>
      </c>
      <c r="H633" s="1" t="s">
        <v>428</v>
      </c>
      <c r="I633" s="1" t="s">
        <v>2446</v>
      </c>
      <c r="J633" s="5">
        <v>8165.76</v>
      </c>
      <c r="K633" s="1" t="s">
        <v>3394</v>
      </c>
      <c r="L633" s="5">
        <v>82</v>
      </c>
      <c r="M633" s="1" t="s">
        <v>2308</v>
      </c>
      <c r="N633" s="1" t="s">
        <v>3983</v>
      </c>
      <c r="O633" s="1" t="s">
        <v>2521</v>
      </c>
      <c r="P633" s="1" t="s">
        <v>3956</v>
      </c>
      <c r="Q633" s="1" t="s">
        <v>2796</v>
      </c>
      <c r="R633" s="1" t="s">
        <v>4182</v>
      </c>
      <c r="S633" s="1" t="s">
        <v>4937</v>
      </c>
      <c r="T633" s="6">
        <v>44593</v>
      </c>
      <c r="U633" s="6">
        <v>44599</v>
      </c>
      <c r="V633" s="7">
        <v>0</v>
      </c>
      <c r="W633" s="6">
        <v>44602</v>
      </c>
      <c r="X633" s="7">
        <v>0</v>
      </c>
      <c r="Y633" s="1" t="s">
        <v>4860</v>
      </c>
      <c r="Z633" s="5">
        <v>17</v>
      </c>
      <c r="AA633" s="1" t="s">
        <v>3403</v>
      </c>
      <c r="AB633" s="1"/>
      <c r="AC633" s="1"/>
      <c r="AD633" s="1"/>
      <c r="AE633" s="1" t="s">
        <v>3717</v>
      </c>
      <c r="AF633" s="1" t="s">
        <v>9</v>
      </c>
      <c r="AG633" s="4">
        <v>6</v>
      </c>
      <c r="AH633" s="1"/>
      <c r="AI633" s="6">
        <v>44926</v>
      </c>
    </row>
    <row r="634" spans="1:35" x14ac:dyDescent="0.3">
      <c r="A634" s="1" t="s">
        <v>2012</v>
      </c>
      <c r="B634" s="2" t="str">
        <f>HYPERLINK("https://my.zakupki.prom.ua/remote/dispatcher/state_purchase_view/34686561")</f>
        <v>https://my.zakupki.prom.ua/remote/dispatcher/state_purchase_view/34686561</v>
      </c>
      <c r="C634" s="1" t="s">
        <v>3044</v>
      </c>
      <c r="D634" s="1" t="s">
        <v>450</v>
      </c>
      <c r="E634" s="4">
        <v>725</v>
      </c>
      <c r="F634" s="5">
        <v>189.66</v>
      </c>
      <c r="G634" s="1" t="s">
        <v>4901</v>
      </c>
      <c r="H634" s="1" t="s">
        <v>136</v>
      </c>
      <c r="I634" s="1" t="s">
        <v>3266</v>
      </c>
      <c r="J634" s="5">
        <v>137500</v>
      </c>
      <c r="K634" s="1" t="s">
        <v>3394</v>
      </c>
      <c r="L634" s="5">
        <v>687.5</v>
      </c>
      <c r="M634" s="1" t="s">
        <v>2308</v>
      </c>
      <c r="N634" s="1" t="s">
        <v>3983</v>
      </c>
      <c r="O634" s="1" t="s">
        <v>2521</v>
      </c>
      <c r="P634" s="1" t="s">
        <v>3956</v>
      </c>
      <c r="Q634" s="1" t="s">
        <v>3264</v>
      </c>
      <c r="R634" s="1" t="s">
        <v>4427</v>
      </c>
      <c r="S634" s="1" t="s">
        <v>4937</v>
      </c>
      <c r="T634" s="6">
        <v>44593</v>
      </c>
      <c r="U634" s="6">
        <v>44599</v>
      </c>
      <c r="V634" s="7">
        <v>0.51458333333333328</v>
      </c>
      <c r="W634" s="6">
        <v>44602</v>
      </c>
      <c r="X634" s="7">
        <v>0.51458333333333328</v>
      </c>
      <c r="Y634" s="1" t="s">
        <v>4860</v>
      </c>
      <c r="Z634" s="5">
        <v>340</v>
      </c>
      <c r="AA634" s="1" t="s">
        <v>3403</v>
      </c>
      <c r="AB634" s="1"/>
      <c r="AC634" s="1"/>
      <c r="AD634" s="1"/>
      <c r="AE634" s="1" t="s">
        <v>3803</v>
      </c>
      <c r="AF634" s="1" t="s">
        <v>9</v>
      </c>
      <c r="AG634" s="4">
        <v>47</v>
      </c>
      <c r="AH634" s="6">
        <v>44606</v>
      </c>
      <c r="AI634" s="6">
        <v>44926</v>
      </c>
    </row>
    <row r="635" spans="1:35" x14ac:dyDescent="0.3">
      <c r="A635" s="1" t="s">
        <v>2010</v>
      </c>
      <c r="B635" s="2" t="str">
        <f>HYPERLINK("https://my.zakupki.prom.ua/remote/dispatcher/state_purchase_view/34686532")</f>
        <v>https://my.zakupki.prom.ua/remote/dispatcher/state_purchase_view/34686532</v>
      </c>
      <c r="C635" s="1" t="s">
        <v>3433</v>
      </c>
      <c r="D635" s="1" t="s">
        <v>468</v>
      </c>
      <c r="E635" s="4">
        <v>3059</v>
      </c>
      <c r="F635" s="5">
        <v>64.5</v>
      </c>
      <c r="G635" s="1" t="s">
        <v>4901</v>
      </c>
      <c r="H635" s="1" t="s">
        <v>191</v>
      </c>
      <c r="I635" s="1" t="s">
        <v>3208</v>
      </c>
      <c r="J635" s="5">
        <v>197305.5</v>
      </c>
      <c r="K635" s="1" t="s">
        <v>3394</v>
      </c>
      <c r="L635" s="5">
        <v>986.53</v>
      </c>
      <c r="M635" s="1" t="s">
        <v>2308</v>
      </c>
      <c r="N635" s="1" t="s">
        <v>3983</v>
      </c>
      <c r="O635" s="1" t="s">
        <v>2521</v>
      </c>
      <c r="P635" s="1" t="s">
        <v>3956</v>
      </c>
      <c r="Q635" s="1" t="s">
        <v>4798</v>
      </c>
      <c r="R635" s="1" t="s">
        <v>4678</v>
      </c>
      <c r="S635" s="1" t="s">
        <v>4937</v>
      </c>
      <c r="T635" s="6">
        <v>44593</v>
      </c>
      <c r="U635" s="6">
        <v>44600</v>
      </c>
      <c r="V635" s="7">
        <v>0.51666666666666672</v>
      </c>
      <c r="W635" s="6">
        <v>44603</v>
      </c>
      <c r="X635" s="7">
        <v>0.51666666666666672</v>
      </c>
      <c r="Y635" s="1" t="s">
        <v>4860</v>
      </c>
      <c r="Z635" s="5">
        <v>340</v>
      </c>
      <c r="AA635" s="1" t="s">
        <v>3403</v>
      </c>
      <c r="AB635" s="1"/>
      <c r="AC635" s="1"/>
      <c r="AD635" s="1"/>
      <c r="AE635" s="1" t="s">
        <v>3767</v>
      </c>
      <c r="AF635" s="1" t="s">
        <v>9</v>
      </c>
      <c r="AG635" s="4">
        <v>31</v>
      </c>
      <c r="AH635" s="1"/>
      <c r="AI635" s="6">
        <v>44926</v>
      </c>
    </row>
    <row r="636" spans="1:35" x14ac:dyDescent="0.3">
      <c r="A636" s="1" t="s">
        <v>1623</v>
      </c>
      <c r="B636" s="2" t="str">
        <f>HYPERLINK("https://my.zakupki.prom.ua/remote/dispatcher/state_purchase_view/34686503")</f>
        <v>https://my.zakupki.prom.ua/remote/dispatcher/state_purchase_view/34686503</v>
      </c>
      <c r="C636" s="1" t="s">
        <v>2706</v>
      </c>
      <c r="D636" s="1" t="s">
        <v>621</v>
      </c>
      <c r="E636" s="1" t="s">
        <v>4903</v>
      </c>
      <c r="F636" s="1" t="s">
        <v>4903</v>
      </c>
      <c r="G636" s="1" t="s">
        <v>4903</v>
      </c>
      <c r="H636" s="1" t="s">
        <v>909</v>
      </c>
      <c r="I636" s="1" t="s">
        <v>2588</v>
      </c>
      <c r="J636" s="5">
        <v>74341</v>
      </c>
      <c r="K636" s="1" t="s">
        <v>3394</v>
      </c>
      <c r="L636" s="5">
        <v>371.71</v>
      </c>
      <c r="M636" s="1" t="s">
        <v>2308</v>
      </c>
      <c r="N636" s="1" t="s">
        <v>3403</v>
      </c>
      <c r="O636" s="1" t="s">
        <v>2521</v>
      </c>
      <c r="P636" s="1" t="s">
        <v>3956</v>
      </c>
      <c r="Q636" s="1" t="s">
        <v>4794</v>
      </c>
      <c r="R636" s="1" t="s">
        <v>4187</v>
      </c>
      <c r="S636" s="1" t="s">
        <v>4937</v>
      </c>
      <c r="T636" s="6">
        <v>44593</v>
      </c>
      <c r="U636" s="6">
        <v>44600</v>
      </c>
      <c r="V636" s="7">
        <v>0.49166666666666664</v>
      </c>
      <c r="W636" s="6">
        <v>44603</v>
      </c>
      <c r="X636" s="7">
        <v>0.49236111111111114</v>
      </c>
      <c r="Y636" s="1" t="s">
        <v>4860</v>
      </c>
      <c r="Z636" s="5">
        <v>340</v>
      </c>
      <c r="AA636" s="1" t="s">
        <v>3403</v>
      </c>
      <c r="AB636" s="1"/>
      <c r="AC636" s="1"/>
      <c r="AD636" s="1"/>
      <c r="AE636" s="1" t="s">
        <v>3785</v>
      </c>
      <c r="AF636" s="1" t="s">
        <v>9</v>
      </c>
      <c r="AG636" s="4">
        <v>1</v>
      </c>
      <c r="AH636" s="1"/>
      <c r="AI636" s="6">
        <v>44926</v>
      </c>
    </row>
    <row r="637" spans="1:35" x14ac:dyDescent="0.3">
      <c r="A637" s="1" t="s">
        <v>1379</v>
      </c>
      <c r="B637" s="2" t="str">
        <f>HYPERLINK("https://my.zakupki.prom.ua/remote/dispatcher/state_purchase_view/34686501")</f>
        <v>https://my.zakupki.prom.ua/remote/dispatcher/state_purchase_view/34686501</v>
      </c>
      <c r="C637" s="1" t="s">
        <v>3583</v>
      </c>
      <c r="D637" s="1" t="s">
        <v>1301</v>
      </c>
      <c r="E637" s="4">
        <v>1</v>
      </c>
      <c r="F637" s="5">
        <v>186952</v>
      </c>
      <c r="G637" s="1" t="s">
        <v>4940</v>
      </c>
      <c r="H637" s="1" t="s">
        <v>25</v>
      </c>
      <c r="I637" s="1" t="s">
        <v>3647</v>
      </c>
      <c r="J637" s="5">
        <v>186952</v>
      </c>
      <c r="K637" s="1" t="s">
        <v>3394</v>
      </c>
      <c r="L637" s="5">
        <v>934.76</v>
      </c>
      <c r="M637" s="1" t="s">
        <v>2308</v>
      </c>
      <c r="N637" s="1" t="s">
        <v>3403</v>
      </c>
      <c r="O637" s="1" t="s">
        <v>2521</v>
      </c>
      <c r="P637" s="1" t="s">
        <v>3956</v>
      </c>
      <c r="Q637" s="1" t="s">
        <v>4831</v>
      </c>
      <c r="R637" s="1" t="s">
        <v>4685</v>
      </c>
      <c r="S637" s="1" t="s">
        <v>4937</v>
      </c>
      <c r="T637" s="6">
        <v>44593</v>
      </c>
      <c r="U637" s="6">
        <v>44599</v>
      </c>
      <c r="V637" s="7">
        <v>0</v>
      </c>
      <c r="W637" s="6">
        <v>44602</v>
      </c>
      <c r="X637" s="7">
        <v>0</v>
      </c>
      <c r="Y637" s="1" t="s">
        <v>4860</v>
      </c>
      <c r="Z637" s="5">
        <v>340</v>
      </c>
      <c r="AA637" s="1" t="s">
        <v>3403</v>
      </c>
      <c r="AB637" s="1"/>
      <c r="AC637" s="1"/>
      <c r="AD637" s="1"/>
      <c r="AE637" s="1" t="s">
        <v>3744</v>
      </c>
      <c r="AF637" s="1" t="s">
        <v>9</v>
      </c>
      <c r="AG637" s="4">
        <v>21</v>
      </c>
      <c r="AH637" s="1"/>
      <c r="AI637" s="6">
        <v>44926</v>
      </c>
    </row>
    <row r="638" spans="1:35" x14ac:dyDescent="0.3">
      <c r="A638" s="1" t="s">
        <v>1622</v>
      </c>
      <c r="B638" s="2" t="str">
        <f>HYPERLINK("https://my.zakupki.prom.ua/remote/dispatcher/state_purchase_view/34686502")</f>
        <v>https://my.zakupki.prom.ua/remote/dispatcher/state_purchase_view/34686502</v>
      </c>
      <c r="C638" s="1" t="s">
        <v>3613</v>
      </c>
      <c r="D638" s="1" t="s">
        <v>1207</v>
      </c>
      <c r="E638" s="4">
        <v>12</v>
      </c>
      <c r="F638" s="5">
        <v>583.33000000000004</v>
      </c>
      <c r="G638" s="1" t="s">
        <v>4940</v>
      </c>
      <c r="H638" s="1" t="s">
        <v>31</v>
      </c>
      <c r="I638" s="1" t="s">
        <v>2519</v>
      </c>
      <c r="J638" s="5">
        <v>7000</v>
      </c>
      <c r="K638" s="1" t="s">
        <v>3394</v>
      </c>
      <c r="L638" s="5">
        <v>35</v>
      </c>
      <c r="M638" s="1" t="s">
        <v>2308</v>
      </c>
      <c r="N638" s="1" t="s">
        <v>3983</v>
      </c>
      <c r="O638" s="1" t="s">
        <v>2521</v>
      </c>
      <c r="P638" s="1" t="s">
        <v>3956</v>
      </c>
      <c r="Q638" s="1" t="s">
        <v>2528</v>
      </c>
      <c r="R638" s="1" t="s">
        <v>4064</v>
      </c>
      <c r="S638" s="1" t="s">
        <v>4937</v>
      </c>
      <c r="T638" s="6">
        <v>44593</v>
      </c>
      <c r="U638" s="6">
        <v>44599</v>
      </c>
      <c r="V638" s="7">
        <v>0</v>
      </c>
      <c r="W638" s="6">
        <v>44602</v>
      </c>
      <c r="X638" s="7">
        <v>0</v>
      </c>
      <c r="Y638" s="1" t="s">
        <v>4860</v>
      </c>
      <c r="Z638" s="5">
        <v>17</v>
      </c>
      <c r="AA638" s="1" t="s">
        <v>3403</v>
      </c>
      <c r="AB638" s="1"/>
      <c r="AC638" s="1"/>
      <c r="AD638" s="1"/>
      <c r="AE638" s="1" t="s">
        <v>3734</v>
      </c>
      <c r="AF638" s="1" t="s">
        <v>9</v>
      </c>
      <c r="AG638" s="1" t="s">
        <v>9</v>
      </c>
      <c r="AH638" s="1"/>
      <c r="AI638" s="6">
        <v>44926</v>
      </c>
    </row>
    <row r="639" spans="1:35" x14ac:dyDescent="0.3">
      <c r="A639" s="1" t="s">
        <v>1609</v>
      </c>
      <c r="B639" s="2" t="str">
        <f>HYPERLINK("https://my.zakupki.prom.ua/remote/dispatcher/state_purchase_view/34686482")</f>
        <v>https://my.zakupki.prom.ua/remote/dispatcher/state_purchase_view/34686482</v>
      </c>
      <c r="C639" s="1" t="s">
        <v>4003</v>
      </c>
      <c r="D639" s="1" t="s">
        <v>1137</v>
      </c>
      <c r="E639" s="4">
        <v>1</v>
      </c>
      <c r="F639" s="5">
        <v>6221335</v>
      </c>
      <c r="G639" s="1" t="s">
        <v>4896</v>
      </c>
      <c r="H639" s="1" t="s">
        <v>21</v>
      </c>
      <c r="I639" s="1" t="s">
        <v>3467</v>
      </c>
      <c r="J639" s="5">
        <v>6221335</v>
      </c>
      <c r="K639" s="1" t="s">
        <v>3394</v>
      </c>
      <c r="L639" s="5">
        <v>62213.35</v>
      </c>
      <c r="M639" s="1" t="s">
        <v>2308</v>
      </c>
      <c r="N639" s="1" t="s">
        <v>3983</v>
      </c>
      <c r="O639" s="1" t="s">
        <v>713</v>
      </c>
      <c r="P639" s="1" t="s">
        <v>2515</v>
      </c>
      <c r="Q639" s="1" t="s">
        <v>3264</v>
      </c>
      <c r="R639" s="1" t="s">
        <v>4081</v>
      </c>
      <c r="S639" s="1" t="s">
        <v>4971</v>
      </c>
      <c r="T639" s="6">
        <v>44593</v>
      </c>
      <c r="U639" s="6">
        <v>44593</v>
      </c>
      <c r="V639" s="7">
        <v>0.50681412028935191</v>
      </c>
      <c r="W639" s="6">
        <v>44609</v>
      </c>
      <c r="X639" s="7">
        <v>0.41666666666666669</v>
      </c>
      <c r="Y639" s="8">
        <v>44610.568969907406</v>
      </c>
      <c r="Z639" s="5">
        <v>3400</v>
      </c>
      <c r="AA639" s="1" t="s">
        <v>3403</v>
      </c>
      <c r="AB639" s="1"/>
      <c r="AC639" s="1"/>
      <c r="AD639" s="1"/>
      <c r="AE639" s="1" t="s">
        <v>3720</v>
      </c>
      <c r="AF639" s="1" t="s">
        <v>9</v>
      </c>
      <c r="AG639" s="4">
        <v>40</v>
      </c>
      <c r="AH639" s="1"/>
      <c r="AI639" s="6">
        <v>44926</v>
      </c>
    </row>
    <row r="640" spans="1:35" x14ac:dyDescent="0.3">
      <c r="A640" s="1" t="s">
        <v>1621</v>
      </c>
      <c r="B640" s="2" t="str">
        <f>HYPERLINK("https://my.zakupki.prom.ua/remote/dispatcher/state_purchase_view/34686462")</f>
        <v>https://my.zakupki.prom.ua/remote/dispatcher/state_purchase_view/34686462</v>
      </c>
      <c r="C640" s="1" t="s">
        <v>3402</v>
      </c>
      <c r="D640" s="1" t="s">
        <v>701</v>
      </c>
      <c r="E640" s="4">
        <v>4</v>
      </c>
      <c r="F640" s="5">
        <v>23000</v>
      </c>
      <c r="G640" s="1" t="s">
        <v>4991</v>
      </c>
      <c r="H640" s="1" t="s">
        <v>595</v>
      </c>
      <c r="I640" s="1" t="s">
        <v>2754</v>
      </c>
      <c r="J640" s="5">
        <v>92000</v>
      </c>
      <c r="K640" s="1" t="s">
        <v>3394</v>
      </c>
      <c r="L640" s="5">
        <v>460</v>
      </c>
      <c r="M640" s="1" t="s">
        <v>2308</v>
      </c>
      <c r="N640" s="1" t="s">
        <v>3983</v>
      </c>
      <c r="O640" s="1" t="s">
        <v>2521</v>
      </c>
      <c r="P640" s="1" t="s">
        <v>3956</v>
      </c>
      <c r="Q640" s="1" t="s">
        <v>3035</v>
      </c>
      <c r="R640" s="1" t="s">
        <v>4380</v>
      </c>
      <c r="S640" s="1" t="s">
        <v>4937</v>
      </c>
      <c r="T640" s="6">
        <v>44593</v>
      </c>
      <c r="U640" s="6">
        <v>44606</v>
      </c>
      <c r="V640" s="7">
        <v>0.70833333333333337</v>
      </c>
      <c r="W640" s="6">
        <v>44617</v>
      </c>
      <c r="X640" s="7">
        <v>0.70833333333333337</v>
      </c>
      <c r="Y640" s="1" t="s">
        <v>4860</v>
      </c>
      <c r="Z640" s="5">
        <v>340</v>
      </c>
      <c r="AA640" s="1" t="s">
        <v>3403</v>
      </c>
      <c r="AB640" s="1"/>
      <c r="AC640" s="1"/>
      <c r="AD640" s="1"/>
      <c r="AE640" s="1" t="s">
        <v>3803</v>
      </c>
      <c r="AF640" s="1" t="s">
        <v>9</v>
      </c>
      <c r="AG640" s="4">
        <v>4</v>
      </c>
      <c r="AH640" s="1"/>
      <c r="AI640" s="6">
        <v>44681</v>
      </c>
    </row>
    <row r="641" spans="1:35" x14ac:dyDescent="0.3">
      <c r="A641" s="1" t="s">
        <v>1381</v>
      </c>
      <c r="B641" s="2" t="str">
        <f>HYPERLINK("https://my.zakupki.prom.ua/remote/dispatcher/state_purchase_view/34686433")</f>
        <v>https://my.zakupki.prom.ua/remote/dispatcher/state_purchase_view/34686433</v>
      </c>
      <c r="C641" s="1" t="s">
        <v>2765</v>
      </c>
      <c r="D641" s="1" t="s">
        <v>269</v>
      </c>
      <c r="E641" s="4">
        <v>395</v>
      </c>
      <c r="F641" s="5">
        <v>2000</v>
      </c>
      <c r="G641" s="1" t="s">
        <v>4913</v>
      </c>
      <c r="H641" s="1" t="s">
        <v>148</v>
      </c>
      <c r="I641" s="1" t="s">
        <v>2501</v>
      </c>
      <c r="J641" s="5">
        <v>790000</v>
      </c>
      <c r="K641" s="1" t="s">
        <v>3394</v>
      </c>
      <c r="L641" s="5">
        <v>7900</v>
      </c>
      <c r="M641" s="1" t="s">
        <v>2308</v>
      </c>
      <c r="N641" s="1" t="s">
        <v>3983</v>
      </c>
      <c r="O641" s="1" t="s">
        <v>2521</v>
      </c>
      <c r="P641" s="1" t="s">
        <v>2515</v>
      </c>
      <c r="Q641" s="1" t="s">
        <v>3264</v>
      </c>
      <c r="R641" s="1" t="s">
        <v>4545</v>
      </c>
      <c r="S641" s="1" t="s">
        <v>4971</v>
      </c>
      <c r="T641" s="6">
        <v>44593</v>
      </c>
      <c r="U641" s="6">
        <v>44593</v>
      </c>
      <c r="V641" s="7">
        <v>0.51393603810185184</v>
      </c>
      <c r="W641" s="6">
        <v>44610</v>
      </c>
      <c r="X641" s="7">
        <v>0</v>
      </c>
      <c r="Y641" s="8">
        <v>44610.556585648148</v>
      </c>
      <c r="Z641" s="5">
        <v>510</v>
      </c>
      <c r="AA641" s="1" t="s">
        <v>3403</v>
      </c>
      <c r="AB641" s="1"/>
      <c r="AC641" s="1"/>
      <c r="AD641" s="1"/>
      <c r="AE641" s="1" t="s">
        <v>3788</v>
      </c>
      <c r="AF641" s="1" t="s">
        <v>9</v>
      </c>
      <c r="AG641" s="4">
        <v>4</v>
      </c>
      <c r="AH641" s="1"/>
      <c r="AI641" s="6">
        <v>44805</v>
      </c>
    </row>
    <row r="642" spans="1:35" x14ac:dyDescent="0.3">
      <c r="A642" s="1" t="s">
        <v>1620</v>
      </c>
      <c r="B642" s="2" t="str">
        <f>HYPERLINK("https://my.zakupki.prom.ua/remote/dispatcher/state_purchase_view/34686420")</f>
        <v>https://my.zakupki.prom.ua/remote/dispatcher/state_purchase_view/34686420</v>
      </c>
      <c r="C642" s="1" t="s">
        <v>2832</v>
      </c>
      <c r="D642" s="1" t="s">
        <v>480</v>
      </c>
      <c r="E642" s="4">
        <v>2</v>
      </c>
      <c r="F642" s="5">
        <v>24500</v>
      </c>
      <c r="G642" s="1" t="s">
        <v>4924</v>
      </c>
      <c r="H642" s="1" t="s">
        <v>630</v>
      </c>
      <c r="I642" s="1" t="s">
        <v>3198</v>
      </c>
      <c r="J642" s="5">
        <v>49000</v>
      </c>
      <c r="K642" s="1" t="s">
        <v>3394</v>
      </c>
      <c r="L642" s="5">
        <v>245</v>
      </c>
      <c r="M642" s="1" t="s">
        <v>2308</v>
      </c>
      <c r="N642" s="1" t="s">
        <v>3983</v>
      </c>
      <c r="O642" s="1" t="s">
        <v>2521</v>
      </c>
      <c r="P642" s="1" t="s">
        <v>2762</v>
      </c>
      <c r="Q642" s="1" t="s">
        <v>2528</v>
      </c>
      <c r="R642" s="1" t="s">
        <v>4341</v>
      </c>
      <c r="S642" s="1" t="s">
        <v>4937</v>
      </c>
      <c r="T642" s="6">
        <v>44593</v>
      </c>
      <c r="U642" s="6">
        <v>44599</v>
      </c>
      <c r="V642" s="7">
        <v>0.375</v>
      </c>
      <c r="W642" s="6">
        <v>44602</v>
      </c>
      <c r="X642" s="7">
        <v>0.375</v>
      </c>
      <c r="Y642" s="1" t="s">
        <v>4860</v>
      </c>
      <c r="Z642" s="5">
        <v>119</v>
      </c>
      <c r="AA642" s="1" t="s">
        <v>3403</v>
      </c>
      <c r="AB642" s="1"/>
      <c r="AC642" s="1"/>
      <c r="AD642" s="1"/>
      <c r="AE642" s="1" t="s">
        <v>3771</v>
      </c>
      <c r="AF642" s="1" t="s">
        <v>9</v>
      </c>
      <c r="AG642" s="4">
        <v>2</v>
      </c>
      <c r="AH642" s="1"/>
      <c r="AI642" s="6">
        <v>44712</v>
      </c>
    </row>
    <row r="643" spans="1:35" x14ac:dyDescent="0.3">
      <c r="A643" s="1" t="s">
        <v>1616</v>
      </c>
      <c r="B643" s="2" t="str">
        <f>HYPERLINK("https://my.zakupki.prom.ua/remote/dispatcher/state_purchase_view/34686402")</f>
        <v>https://my.zakupki.prom.ua/remote/dispatcher/state_purchase_view/34686402</v>
      </c>
      <c r="C643" s="1" t="s">
        <v>2609</v>
      </c>
      <c r="D643" s="1" t="s">
        <v>379</v>
      </c>
      <c r="E643" s="4">
        <v>8540</v>
      </c>
      <c r="F643" s="5">
        <v>36.99</v>
      </c>
      <c r="G643" s="1" t="s">
        <v>4908</v>
      </c>
      <c r="H643" s="1" t="s">
        <v>893</v>
      </c>
      <c r="I643" s="1" t="s">
        <v>2375</v>
      </c>
      <c r="J643" s="5">
        <v>315933</v>
      </c>
      <c r="K643" s="1" t="s">
        <v>3394</v>
      </c>
      <c r="L643" s="5">
        <v>1579.66</v>
      </c>
      <c r="M643" s="1" t="s">
        <v>2308</v>
      </c>
      <c r="N643" s="1" t="s">
        <v>3983</v>
      </c>
      <c r="O643" s="1" t="s">
        <v>2521</v>
      </c>
      <c r="P643" s="1" t="s">
        <v>2515</v>
      </c>
      <c r="Q643" s="1" t="s">
        <v>4794</v>
      </c>
      <c r="R643" s="1" t="s">
        <v>4683</v>
      </c>
      <c r="S643" s="1" t="s">
        <v>4971</v>
      </c>
      <c r="T643" s="6">
        <v>44593</v>
      </c>
      <c r="U643" s="6">
        <v>44593</v>
      </c>
      <c r="V643" s="7">
        <v>0.5109652200925926</v>
      </c>
      <c r="W643" s="6">
        <v>44609</v>
      </c>
      <c r="X643" s="7">
        <v>0</v>
      </c>
      <c r="Y643" s="8">
        <v>44609.650925925926</v>
      </c>
      <c r="Z643" s="5">
        <v>510</v>
      </c>
      <c r="AA643" s="1" t="s">
        <v>3403</v>
      </c>
      <c r="AB643" s="1"/>
      <c r="AC643" s="1"/>
      <c r="AD643" s="1"/>
      <c r="AE643" s="1" t="s">
        <v>3788</v>
      </c>
      <c r="AF643" s="1" t="s">
        <v>9</v>
      </c>
      <c r="AG643" s="1" t="s">
        <v>9</v>
      </c>
      <c r="AH643" s="1"/>
      <c r="AI643" s="6">
        <v>44926</v>
      </c>
    </row>
    <row r="644" spans="1:35" x14ac:dyDescent="0.3">
      <c r="A644" s="1" t="s">
        <v>2005</v>
      </c>
      <c r="B644" s="2" t="str">
        <f>HYPERLINK("https://my.zakupki.prom.ua/remote/dispatcher/state_purchase_view/34686383")</f>
        <v>https://my.zakupki.prom.ua/remote/dispatcher/state_purchase_view/34686383</v>
      </c>
      <c r="C644" s="1" t="s">
        <v>2763</v>
      </c>
      <c r="D644" s="1" t="s">
        <v>1261</v>
      </c>
      <c r="E644" s="4">
        <v>1030</v>
      </c>
      <c r="F644" s="5">
        <v>56</v>
      </c>
      <c r="G644" s="1" t="s">
        <v>4939</v>
      </c>
      <c r="H644" s="1" t="s">
        <v>708</v>
      </c>
      <c r="I644" s="1" t="s">
        <v>2886</v>
      </c>
      <c r="J644" s="5">
        <v>57680</v>
      </c>
      <c r="K644" s="1" t="s">
        <v>3394</v>
      </c>
      <c r="L644" s="5">
        <v>576.79999999999995</v>
      </c>
      <c r="M644" s="1" t="s">
        <v>2308</v>
      </c>
      <c r="N644" s="1" t="s">
        <v>3403</v>
      </c>
      <c r="O644" s="1" t="s">
        <v>2521</v>
      </c>
      <c r="P644" s="1" t="s">
        <v>3956</v>
      </c>
      <c r="Q644" s="1" t="s">
        <v>4794</v>
      </c>
      <c r="R644" s="1" t="s">
        <v>4081</v>
      </c>
      <c r="S644" s="1" t="s">
        <v>4937</v>
      </c>
      <c r="T644" s="6">
        <v>44593</v>
      </c>
      <c r="U644" s="6">
        <v>44599</v>
      </c>
      <c r="V644" s="7">
        <v>0.5</v>
      </c>
      <c r="W644" s="6">
        <v>44602</v>
      </c>
      <c r="X644" s="7">
        <v>0</v>
      </c>
      <c r="Y644" s="1" t="s">
        <v>4860</v>
      </c>
      <c r="Z644" s="5">
        <v>340</v>
      </c>
      <c r="AA644" s="1" t="s">
        <v>3403</v>
      </c>
      <c r="AB644" s="1"/>
      <c r="AC644" s="1"/>
      <c r="AD644" s="1"/>
      <c r="AE644" s="1" t="s">
        <v>3749</v>
      </c>
      <c r="AF644" s="1" t="s">
        <v>9</v>
      </c>
      <c r="AG644" s="1" t="s">
        <v>9</v>
      </c>
      <c r="AH644" s="1"/>
      <c r="AI644" s="6">
        <v>44926</v>
      </c>
    </row>
    <row r="645" spans="1:35" x14ac:dyDescent="0.3">
      <c r="A645" s="1" t="s">
        <v>1601</v>
      </c>
      <c r="B645" s="2" t="str">
        <f>HYPERLINK("https://my.zakupki.prom.ua/remote/dispatcher/state_purchase_view/34686373")</f>
        <v>https://my.zakupki.prom.ua/remote/dispatcher/state_purchase_view/34686373</v>
      </c>
      <c r="C645" s="1" t="s">
        <v>3330</v>
      </c>
      <c r="D645" s="1" t="s">
        <v>472</v>
      </c>
      <c r="E645" s="4">
        <v>11250</v>
      </c>
      <c r="F645" s="5">
        <v>24</v>
      </c>
      <c r="G645" s="1" t="s">
        <v>4935</v>
      </c>
      <c r="H645" s="1" t="s">
        <v>90</v>
      </c>
      <c r="I645" s="1" t="s">
        <v>3090</v>
      </c>
      <c r="J645" s="5">
        <v>270000</v>
      </c>
      <c r="K645" s="1" t="s">
        <v>3394</v>
      </c>
      <c r="L645" s="5">
        <v>1350</v>
      </c>
      <c r="M645" s="1" t="s">
        <v>2308</v>
      </c>
      <c r="N645" s="1" t="s">
        <v>3983</v>
      </c>
      <c r="O645" s="1" t="s">
        <v>2521</v>
      </c>
      <c r="P645" s="1" t="s">
        <v>2515</v>
      </c>
      <c r="Q645" s="1" t="s">
        <v>3264</v>
      </c>
      <c r="R645" s="1" t="s">
        <v>4286</v>
      </c>
      <c r="S645" s="1" t="s">
        <v>4971</v>
      </c>
      <c r="T645" s="6">
        <v>44593</v>
      </c>
      <c r="U645" s="6">
        <v>44593</v>
      </c>
      <c r="V645" s="7">
        <v>0.50427662777777771</v>
      </c>
      <c r="W645" s="6">
        <v>44609</v>
      </c>
      <c r="X645" s="7">
        <v>0</v>
      </c>
      <c r="Y645" s="8">
        <v>44609.625081018516</v>
      </c>
      <c r="Z645" s="5">
        <v>510</v>
      </c>
      <c r="AA645" s="1" t="s">
        <v>3403</v>
      </c>
      <c r="AB645" s="1"/>
      <c r="AC645" s="1"/>
      <c r="AD645" s="1"/>
      <c r="AE645" s="1" t="s">
        <v>3788</v>
      </c>
      <c r="AF645" s="1" t="s">
        <v>9</v>
      </c>
      <c r="AG645" s="4">
        <v>2</v>
      </c>
      <c r="AH645" s="1"/>
      <c r="AI645" s="6">
        <v>44926</v>
      </c>
    </row>
    <row r="646" spans="1:35" x14ac:dyDescent="0.3">
      <c r="A646" s="1" t="s">
        <v>1619</v>
      </c>
      <c r="B646" s="2" t="str">
        <f>HYPERLINK("https://my.zakupki.prom.ua/remote/dispatcher/state_purchase_view/34686369")</f>
        <v>https://my.zakupki.prom.ua/remote/dispatcher/state_purchase_view/34686369</v>
      </c>
      <c r="C646" s="1" t="s">
        <v>373</v>
      </c>
      <c r="D646" s="1" t="s">
        <v>373</v>
      </c>
      <c r="E646" s="4">
        <v>5650</v>
      </c>
      <c r="F646" s="5">
        <v>35.04</v>
      </c>
      <c r="G646" s="1" t="s">
        <v>4908</v>
      </c>
      <c r="H646" s="1" t="s">
        <v>648</v>
      </c>
      <c r="I646" s="1" t="s">
        <v>2876</v>
      </c>
      <c r="J646" s="5">
        <v>198000</v>
      </c>
      <c r="K646" s="1" t="s">
        <v>3394</v>
      </c>
      <c r="L646" s="5">
        <v>990</v>
      </c>
      <c r="M646" s="1" t="s">
        <v>2308</v>
      </c>
      <c r="N646" s="1" t="s">
        <v>3983</v>
      </c>
      <c r="O646" s="1" t="s">
        <v>2521</v>
      </c>
      <c r="P646" s="1" t="s">
        <v>3956</v>
      </c>
      <c r="Q646" s="1" t="s">
        <v>3035</v>
      </c>
      <c r="R646" s="1" t="s">
        <v>4081</v>
      </c>
      <c r="S646" s="1" t="s">
        <v>4937</v>
      </c>
      <c r="T646" s="6">
        <v>44593</v>
      </c>
      <c r="U646" s="6">
        <v>44599</v>
      </c>
      <c r="V646" s="7">
        <v>0</v>
      </c>
      <c r="W646" s="6">
        <v>44602</v>
      </c>
      <c r="X646" s="7">
        <v>0</v>
      </c>
      <c r="Y646" s="1" t="s">
        <v>4860</v>
      </c>
      <c r="Z646" s="5">
        <v>340</v>
      </c>
      <c r="AA646" s="1" t="s">
        <v>3403</v>
      </c>
      <c r="AB646" s="1"/>
      <c r="AC646" s="1"/>
      <c r="AD646" s="1"/>
      <c r="AE646" s="1" t="s">
        <v>3779</v>
      </c>
      <c r="AF646" s="1" t="s">
        <v>9</v>
      </c>
      <c r="AG646" s="4">
        <v>12</v>
      </c>
      <c r="AH646" s="1"/>
      <c r="AI646" s="6">
        <v>44926</v>
      </c>
    </row>
    <row r="647" spans="1:35" x14ac:dyDescent="0.3">
      <c r="A647" s="1" t="s">
        <v>2008</v>
      </c>
      <c r="B647" s="2" t="str">
        <f>HYPERLINK("https://my.zakupki.prom.ua/remote/dispatcher/state_purchase_view/34686330")</f>
        <v>https://my.zakupki.prom.ua/remote/dispatcher/state_purchase_view/34686330</v>
      </c>
      <c r="C647" s="1" t="s">
        <v>4859</v>
      </c>
      <c r="D647" s="1" t="s">
        <v>377</v>
      </c>
      <c r="E647" s="1" t="s">
        <v>4903</v>
      </c>
      <c r="F647" s="1" t="s">
        <v>4903</v>
      </c>
      <c r="G647" s="1" t="s">
        <v>4903</v>
      </c>
      <c r="H647" s="1" t="s">
        <v>1009</v>
      </c>
      <c r="I647" s="1" t="s">
        <v>4749</v>
      </c>
      <c r="J647" s="5">
        <v>251596</v>
      </c>
      <c r="K647" s="1" t="s">
        <v>3394</v>
      </c>
      <c r="L647" s="5">
        <v>1257.98</v>
      </c>
      <c r="M647" s="1" t="s">
        <v>2308</v>
      </c>
      <c r="N647" s="1" t="s">
        <v>3983</v>
      </c>
      <c r="O647" s="1" t="s">
        <v>2521</v>
      </c>
      <c r="P647" s="1" t="s">
        <v>2515</v>
      </c>
      <c r="Q647" s="1" t="s">
        <v>2761</v>
      </c>
      <c r="R647" s="1" t="s">
        <v>4081</v>
      </c>
      <c r="S647" s="1" t="s">
        <v>4971</v>
      </c>
      <c r="T647" s="6">
        <v>44593</v>
      </c>
      <c r="U647" s="6">
        <v>44593</v>
      </c>
      <c r="V647" s="7">
        <v>0.51550572797453709</v>
      </c>
      <c r="W647" s="6">
        <v>44609</v>
      </c>
      <c r="X647" s="7">
        <v>0.625</v>
      </c>
      <c r="Y647" s="8">
        <v>44610.587048611109</v>
      </c>
      <c r="Z647" s="5">
        <v>510</v>
      </c>
      <c r="AA647" s="1" t="s">
        <v>3403</v>
      </c>
      <c r="AB647" s="1"/>
      <c r="AC647" s="1"/>
      <c r="AD647" s="1"/>
      <c r="AE647" s="1" t="s">
        <v>3788</v>
      </c>
      <c r="AF647" s="1" t="s">
        <v>9</v>
      </c>
      <c r="AG647" s="4">
        <v>19</v>
      </c>
      <c r="AH647" s="1"/>
      <c r="AI647" s="6">
        <v>44926</v>
      </c>
    </row>
    <row r="648" spans="1:35" x14ac:dyDescent="0.3">
      <c r="A648" s="1" t="s">
        <v>2007</v>
      </c>
      <c r="B648" s="2" t="str">
        <f>HYPERLINK("https://my.zakupki.prom.ua/remote/dispatcher/state_purchase_view/34686306")</f>
        <v>https://my.zakupki.prom.ua/remote/dispatcher/state_purchase_view/34686306</v>
      </c>
      <c r="C648" s="1" t="s">
        <v>4847</v>
      </c>
      <c r="D648" s="1" t="s">
        <v>174</v>
      </c>
      <c r="E648" s="4">
        <v>22676</v>
      </c>
      <c r="F648" s="5">
        <v>3.7</v>
      </c>
      <c r="G648" s="1" t="s">
        <v>4991</v>
      </c>
      <c r="H648" s="1" t="s">
        <v>290</v>
      </c>
      <c r="I648" s="1" t="s">
        <v>3431</v>
      </c>
      <c r="J648" s="5">
        <v>83900</v>
      </c>
      <c r="K648" s="1" t="s">
        <v>3394</v>
      </c>
      <c r="L648" s="5">
        <v>419.5</v>
      </c>
      <c r="M648" s="1" t="s">
        <v>2308</v>
      </c>
      <c r="N648" s="1" t="s">
        <v>3983</v>
      </c>
      <c r="O648" s="1" t="s">
        <v>2521</v>
      </c>
      <c r="P648" s="1" t="s">
        <v>3956</v>
      </c>
      <c r="Q648" s="1" t="s">
        <v>2796</v>
      </c>
      <c r="R648" s="1" t="s">
        <v>4099</v>
      </c>
      <c r="S648" s="1" t="s">
        <v>4937</v>
      </c>
      <c r="T648" s="6">
        <v>44593</v>
      </c>
      <c r="U648" s="6">
        <v>44599</v>
      </c>
      <c r="V648" s="7">
        <v>0</v>
      </c>
      <c r="W648" s="6">
        <v>44602</v>
      </c>
      <c r="X648" s="7">
        <v>0</v>
      </c>
      <c r="Y648" s="1" t="s">
        <v>4860</v>
      </c>
      <c r="Z648" s="5">
        <v>340</v>
      </c>
      <c r="AA648" s="1" t="s">
        <v>3403</v>
      </c>
      <c r="AB648" s="1"/>
      <c r="AC648" s="1"/>
      <c r="AD648" s="1"/>
      <c r="AE648" s="1" t="s">
        <v>3801</v>
      </c>
      <c r="AF648" s="1" t="s">
        <v>9</v>
      </c>
      <c r="AG648" s="4">
        <v>6</v>
      </c>
      <c r="AH648" s="1"/>
      <c r="AI648" s="6">
        <v>44926</v>
      </c>
    </row>
    <row r="649" spans="1:35" x14ac:dyDescent="0.3">
      <c r="A649" s="1" t="s">
        <v>2006</v>
      </c>
      <c r="B649" s="2" t="str">
        <f>HYPERLINK("https://my.zakupki.prom.ua/remote/dispatcher/state_purchase_view/34686248")</f>
        <v>https://my.zakupki.prom.ua/remote/dispatcher/state_purchase_view/34686248</v>
      </c>
      <c r="C649" s="1" t="s">
        <v>1244</v>
      </c>
      <c r="D649" s="1" t="s">
        <v>1243</v>
      </c>
      <c r="E649" s="4">
        <v>1</v>
      </c>
      <c r="F649" s="5">
        <v>199800</v>
      </c>
      <c r="G649" s="1" t="s">
        <v>4940</v>
      </c>
      <c r="H649" s="1" t="s">
        <v>132</v>
      </c>
      <c r="I649" s="1" t="s">
        <v>2723</v>
      </c>
      <c r="J649" s="5">
        <v>199800</v>
      </c>
      <c r="K649" s="1" t="s">
        <v>3394</v>
      </c>
      <c r="L649" s="5">
        <v>999</v>
      </c>
      <c r="M649" s="1" t="s">
        <v>2308</v>
      </c>
      <c r="N649" s="1" t="s">
        <v>3983</v>
      </c>
      <c r="O649" s="1" t="s">
        <v>2521</v>
      </c>
      <c r="P649" s="1" t="s">
        <v>3956</v>
      </c>
      <c r="Q649" s="1" t="s">
        <v>4911</v>
      </c>
      <c r="R649" s="1" t="s">
        <v>4081</v>
      </c>
      <c r="S649" s="1" t="s">
        <v>4937</v>
      </c>
      <c r="T649" s="6">
        <v>44593</v>
      </c>
      <c r="U649" s="6">
        <v>44599</v>
      </c>
      <c r="V649" s="7">
        <v>0.5</v>
      </c>
      <c r="W649" s="6">
        <v>44602</v>
      </c>
      <c r="X649" s="7">
        <v>0.5</v>
      </c>
      <c r="Y649" s="1" t="s">
        <v>4860</v>
      </c>
      <c r="Z649" s="5">
        <v>340</v>
      </c>
      <c r="AA649" s="1" t="s">
        <v>3403</v>
      </c>
      <c r="AB649" s="1"/>
      <c r="AC649" s="1"/>
      <c r="AD649" s="1"/>
      <c r="AE649" s="1" t="s">
        <v>3729</v>
      </c>
      <c r="AF649" s="1" t="s">
        <v>9</v>
      </c>
      <c r="AG649" s="1" t="s">
        <v>9</v>
      </c>
      <c r="AH649" s="6">
        <v>44621</v>
      </c>
      <c r="AI649" s="6">
        <v>44926</v>
      </c>
    </row>
    <row r="650" spans="1:35" x14ac:dyDescent="0.3">
      <c r="A650" s="1" t="s">
        <v>1614</v>
      </c>
      <c r="B650" s="2" t="str">
        <f>HYPERLINK("https://my.zakupki.prom.ua/remote/dispatcher/state_purchase_view/34686065")</f>
        <v>https://my.zakupki.prom.ua/remote/dispatcher/state_purchase_view/34686065</v>
      </c>
      <c r="C650" s="1" t="s">
        <v>1143</v>
      </c>
      <c r="D650" s="1" t="s">
        <v>1144</v>
      </c>
      <c r="E650" s="4">
        <v>1</v>
      </c>
      <c r="F650" s="5">
        <v>615589</v>
      </c>
      <c r="G650" s="1" t="s">
        <v>4940</v>
      </c>
      <c r="H650" s="1" t="s">
        <v>656</v>
      </c>
      <c r="I650" s="1" t="s">
        <v>3931</v>
      </c>
      <c r="J650" s="5">
        <v>615589</v>
      </c>
      <c r="K650" s="1" t="s">
        <v>3394</v>
      </c>
      <c r="L650" s="5">
        <v>3077.94</v>
      </c>
      <c r="M650" s="1" t="s">
        <v>2308</v>
      </c>
      <c r="N650" s="1" t="s">
        <v>3983</v>
      </c>
      <c r="O650" s="1" t="s">
        <v>520</v>
      </c>
      <c r="P650" s="1" t="s">
        <v>2515</v>
      </c>
      <c r="Q650" s="1" t="s">
        <v>2756</v>
      </c>
      <c r="R650" s="1" t="s">
        <v>4262</v>
      </c>
      <c r="S650" s="1" t="s">
        <v>4971</v>
      </c>
      <c r="T650" s="6">
        <v>44593</v>
      </c>
      <c r="U650" s="6">
        <v>44593</v>
      </c>
      <c r="V650" s="7">
        <v>0.50904984694444444</v>
      </c>
      <c r="W650" s="6">
        <v>44610</v>
      </c>
      <c r="X650" s="7">
        <v>0.70833333333333337</v>
      </c>
      <c r="Y650" s="8">
        <v>44613.639444444445</v>
      </c>
      <c r="Z650" s="5">
        <v>510</v>
      </c>
      <c r="AA650" s="1" t="s">
        <v>3403</v>
      </c>
      <c r="AB650" s="1"/>
      <c r="AC650" s="1"/>
      <c r="AD650" s="1"/>
      <c r="AE650" s="1" t="s">
        <v>3750</v>
      </c>
      <c r="AF650" s="1" t="s">
        <v>9</v>
      </c>
      <c r="AG650" s="4">
        <v>147</v>
      </c>
      <c r="AH650" s="1"/>
      <c r="AI650" s="6">
        <v>44926</v>
      </c>
    </row>
    <row r="651" spans="1:35" x14ac:dyDescent="0.3">
      <c r="A651" s="1" t="s">
        <v>1378</v>
      </c>
      <c r="B651" s="2" t="str">
        <f>HYPERLINK("https://my.zakupki.prom.ua/remote/dispatcher/state_purchase_view/34686050")</f>
        <v>https://my.zakupki.prom.ua/remote/dispatcher/state_purchase_view/34686050</v>
      </c>
      <c r="C651" s="1" t="s">
        <v>3519</v>
      </c>
      <c r="D651" s="1" t="s">
        <v>1282</v>
      </c>
      <c r="E651" s="4">
        <v>90</v>
      </c>
      <c r="F651" s="5">
        <v>126.06</v>
      </c>
      <c r="G651" s="1" t="s">
        <v>4914</v>
      </c>
      <c r="H651" s="1" t="s">
        <v>428</v>
      </c>
      <c r="I651" s="1" t="s">
        <v>2446</v>
      </c>
      <c r="J651" s="5">
        <v>11345.4</v>
      </c>
      <c r="K651" s="1" t="s">
        <v>3394</v>
      </c>
      <c r="L651" s="5">
        <v>114</v>
      </c>
      <c r="M651" s="1" t="s">
        <v>2308</v>
      </c>
      <c r="N651" s="1" t="s">
        <v>3983</v>
      </c>
      <c r="O651" s="1" t="s">
        <v>2521</v>
      </c>
      <c r="P651" s="1" t="s">
        <v>3956</v>
      </c>
      <c r="Q651" s="1" t="s">
        <v>2796</v>
      </c>
      <c r="R651" s="1" t="s">
        <v>4113</v>
      </c>
      <c r="S651" s="1" t="s">
        <v>4937</v>
      </c>
      <c r="T651" s="6">
        <v>44593</v>
      </c>
      <c r="U651" s="6">
        <v>44599</v>
      </c>
      <c r="V651" s="7">
        <v>0</v>
      </c>
      <c r="W651" s="6">
        <v>44602</v>
      </c>
      <c r="X651" s="7">
        <v>0</v>
      </c>
      <c r="Y651" s="1" t="s">
        <v>4860</v>
      </c>
      <c r="Z651" s="5">
        <v>17</v>
      </c>
      <c r="AA651" s="1" t="s">
        <v>3403</v>
      </c>
      <c r="AB651" s="1"/>
      <c r="AC651" s="1"/>
      <c r="AD651" s="1"/>
      <c r="AE651" s="1" t="s">
        <v>3717</v>
      </c>
      <c r="AF651" s="1" t="s">
        <v>9</v>
      </c>
      <c r="AG651" s="4">
        <v>6</v>
      </c>
      <c r="AH651" s="1"/>
      <c r="AI651" s="6">
        <v>44926</v>
      </c>
    </row>
    <row r="652" spans="1:35" x14ac:dyDescent="0.3">
      <c r="A652" s="1" t="s">
        <v>1377</v>
      </c>
      <c r="B652" s="2" t="str">
        <f>HYPERLINK("https://my.zakupki.prom.ua/remote/dispatcher/state_purchase_view/34686047")</f>
        <v>https://my.zakupki.prom.ua/remote/dispatcher/state_purchase_view/34686047</v>
      </c>
      <c r="C652" s="1" t="s">
        <v>3432</v>
      </c>
      <c r="D652" s="1" t="s">
        <v>468</v>
      </c>
      <c r="E652" s="4">
        <v>1900</v>
      </c>
      <c r="F652" s="5">
        <v>65</v>
      </c>
      <c r="G652" s="1" t="s">
        <v>4908</v>
      </c>
      <c r="H652" s="1" t="s">
        <v>184</v>
      </c>
      <c r="I652" s="1" t="s">
        <v>2843</v>
      </c>
      <c r="J652" s="5">
        <v>123500</v>
      </c>
      <c r="K652" s="1" t="s">
        <v>3394</v>
      </c>
      <c r="L652" s="5">
        <v>1235</v>
      </c>
      <c r="M652" s="1" t="s">
        <v>2308</v>
      </c>
      <c r="N652" s="1" t="s">
        <v>3983</v>
      </c>
      <c r="O652" s="1" t="s">
        <v>2521</v>
      </c>
      <c r="P652" s="1" t="s">
        <v>3956</v>
      </c>
      <c r="Q652" s="1" t="s">
        <v>3264</v>
      </c>
      <c r="R652" s="1" t="s">
        <v>4566</v>
      </c>
      <c r="S652" s="1" t="s">
        <v>4937</v>
      </c>
      <c r="T652" s="6">
        <v>44593</v>
      </c>
      <c r="U652" s="6">
        <v>44599</v>
      </c>
      <c r="V652" s="7">
        <v>0.41666666666666669</v>
      </c>
      <c r="W652" s="6">
        <v>44608</v>
      </c>
      <c r="X652" s="7">
        <v>0.41666666666666669</v>
      </c>
      <c r="Y652" s="1" t="s">
        <v>4860</v>
      </c>
      <c r="Z652" s="5">
        <v>340</v>
      </c>
      <c r="AA652" s="1" t="s">
        <v>3403</v>
      </c>
      <c r="AB652" s="1"/>
      <c r="AC652" s="1"/>
      <c r="AD652" s="1"/>
      <c r="AE652" s="1" t="s">
        <v>3788</v>
      </c>
      <c r="AF652" s="1" t="s">
        <v>9</v>
      </c>
      <c r="AG652" s="4">
        <v>1</v>
      </c>
      <c r="AH652" s="1"/>
      <c r="AI652" s="6">
        <v>44926</v>
      </c>
    </row>
    <row r="653" spans="1:35" x14ac:dyDescent="0.3">
      <c r="A653" s="1" t="s">
        <v>1612</v>
      </c>
      <c r="B653" s="2" t="str">
        <f>HYPERLINK("https://my.zakupki.prom.ua/remote/dispatcher/state_purchase_view/34686044")</f>
        <v>https://my.zakupki.prom.ua/remote/dispatcher/state_purchase_view/34686044</v>
      </c>
      <c r="C653" s="1" t="s">
        <v>3908</v>
      </c>
      <c r="D653" s="1" t="s">
        <v>730</v>
      </c>
      <c r="E653" s="4">
        <v>2</v>
      </c>
      <c r="F653" s="5">
        <v>3750</v>
      </c>
      <c r="G653" s="1" t="s">
        <v>4973</v>
      </c>
      <c r="H653" s="1" t="s">
        <v>880</v>
      </c>
      <c r="I653" s="1" t="s">
        <v>2735</v>
      </c>
      <c r="J653" s="5">
        <v>7500</v>
      </c>
      <c r="K653" s="1" t="s">
        <v>3394</v>
      </c>
      <c r="L653" s="5">
        <v>37.5</v>
      </c>
      <c r="M653" s="1" t="s">
        <v>2308</v>
      </c>
      <c r="N653" s="1" t="s">
        <v>3983</v>
      </c>
      <c r="O653" s="1" t="s">
        <v>2521</v>
      </c>
      <c r="P653" s="1" t="s">
        <v>3956</v>
      </c>
      <c r="Q653" s="1" t="s">
        <v>3035</v>
      </c>
      <c r="R653" s="1" t="s">
        <v>4126</v>
      </c>
      <c r="S653" s="1" t="s">
        <v>4937</v>
      </c>
      <c r="T653" s="6">
        <v>44593</v>
      </c>
      <c r="U653" s="6">
        <v>44599</v>
      </c>
      <c r="V653" s="7">
        <v>0</v>
      </c>
      <c r="W653" s="6">
        <v>44601</v>
      </c>
      <c r="X653" s="7">
        <v>0.58333333333333337</v>
      </c>
      <c r="Y653" s="1" t="s">
        <v>4860</v>
      </c>
      <c r="Z653" s="5">
        <v>17</v>
      </c>
      <c r="AA653" s="1" t="s">
        <v>3403</v>
      </c>
      <c r="AB653" s="1"/>
      <c r="AC653" s="1"/>
      <c r="AD653" s="1"/>
      <c r="AE653" s="1" t="s">
        <v>3787</v>
      </c>
      <c r="AF653" s="1" t="s">
        <v>9</v>
      </c>
      <c r="AG653" s="4">
        <v>53</v>
      </c>
      <c r="AH653" s="1"/>
      <c r="AI653" s="6">
        <v>44926</v>
      </c>
    </row>
    <row r="654" spans="1:35" x14ac:dyDescent="0.3">
      <c r="A654" s="1" t="s">
        <v>1998</v>
      </c>
      <c r="B654" s="2" t="str">
        <f>HYPERLINK("https://my.zakupki.prom.ua/remote/dispatcher/state_purchase_view/34686040")</f>
        <v>https://my.zakupki.prom.ua/remote/dispatcher/state_purchase_view/34686040</v>
      </c>
      <c r="C654" s="1" t="s">
        <v>2814</v>
      </c>
      <c r="D654" s="1" t="s">
        <v>387</v>
      </c>
      <c r="E654" s="4">
        <v>2424</v>
      </c>
      <c r="F654" s="5">
        <v>6.19</v>
      </c>
      <c r="G654" s="1" t="s">
        <v>4879</v>
      </c>
      <c r="H654" s="1" t="s">
        <v>366</v>
      </c>
      <c r="I654" s="1" t="s">
        <v>1197</v>
      </c>
      <c r="J654" s="5">
        <v>15000</v>
      </c>
      <c r="K654" s="1" t="s">
        <v>3394</v>
      </c>
      <c r="L654" s="5">
        <v>75</v>
      </c>
      <c r="M654" s="1" t="s">
        <v>2308</v>
      </c>
      <c r="N654" s="1" t="s">
        <v>3983</v>
      </c>
      <c r="O654" s="1" t="s">
        <v>2521</v>
      </c>
      <c r="P654" s="1" t="s">
        <v>2762</v>
      </c>
      <c r="Q654" s="1" t="s">
        <v>3970</v>
      </c>
      <c r="R654" s="1" t="s">
        <v>4274</v>
      </c>
      <c r="S654" s="1" t="s">
        <v>4937</v>
      </c>
      <c r="T654" s="6">
        <v>44593</v>
      </c>
      <c r="U654" s="6">
        <v>44599</v>
      </c>
      <c r="V654" s="7">
        <v>0.51216435185185183</v>
      </c>
      <c r="W654" s="6">
        <v>44602</v>
      </c>
      <c r="X654" s="7">
        <v>0.51216435185185183</v>
      </c>
      <c r="Y654" s="1" t="s">
        <v>4860</v>
      </c>
      <c r="Z654" s="5">
        <v>17</v>
      </c>
      <c r="AA654" s="1" t="s">
        <v>3403</v>
      </c>
      <c r="AB654" s="1"/>
      <c r="AC654" s="1"/>
      <c r="AD654" s="1"/>
      <c r="AE654" s="1" t="s">
        <v>3803</v>
      </c>
      <c r="AF654" s="1" t="s">
        <v>9</v>
      </c>
      <c r="AG654" s="1" t="s">
        <v>9</v>
      </c>
      <c r="AH654" s="1"/>
      <c r="AI654" s="6">
        <v>44926</v>
      </c>
    </row>
    <row r="655" spans="1:35" x14ac:dyDescent="0.3">
      <c r="A655" s="1" t="s">
        <v>1615</v>
      </c>
      <c r="B655" s="2" t="str">
        <f>HYPERLINK("https://my.zakupki.prom.ua/remote/dispatcher/state_purchase_view/34686037")</f>
        <v>https://my.zakupki.prom.ua/remote/dispatcher/state_purchase_view/34686037</v>
      </c>
      <c r="C655" s="1" t="s">
        <v>4756</v>
      </c>
      <c r="D655" s="1" t="s">
        <v>1282</v>
      </c>
      <c r="E655" s="1" t="s">
        <v>4903</v>
      </c>
      <c r="F655" s="1" t="s">
        <v>4903</v>
      </c>
      <c r="G655" s="1" t="s">
        <v>4903</v>
      </c>
      <c r="H655" s="1" t="s">
        <v>358</v>
      </c>
      <c r="I655" s="1" t="s">
        <v>2565</v>
      </c>
      <c r="J655" s="5">
        <v>102444.72</v>
      </c>
      <c r="K655" s="1" t="s">
        <v>3394</v>
      </c>
      <c r="L655" s="5">
        <v>512.22</v>
      </c>
      <c r="M655" s="1" t="s">
        <v>2308</v>
      </c>
      <c r="N655" s="1" t="s">
        <v>3983</v>
      </c>
      <c r="O655" s="1" t="s">
        <v>2521</v>
      </c>
      <c r="P655" s="1" t="s">
        <v>3956</v>
      </c>
      <c r="Q655" s="1" t="s">
        <v>2528</v>
      </c>
      <c r="R655" s="1" t="s">
        <v>4057</v>
      </c>
      <c r="S655" s="1" t="s">
        <v>4937</v>
      </c>
      <c r="T655" s="6">
        <v>44593</v>
      </c>
      <c r="U655" s="6">
        <v>44599</v>
      </c>
      <c r="V655" s="7">
        <v>0</v>
      </c>
      <c r="W655" s="6">
        <v>44602</v>
      </c>
      <c r="X655" s="7">
        <v>0</v>
      </c>
      <c r="Y655" s="1" t="s">
        <v>4860</v>
      </c>
      <c r="Z655" s="5">
        <v>340</v>
      </c>
      <c r="AA655" s="1" t="s">
        <v>3403</v>
      </c>
      <c r="AB655" s="1"/>
      <c r="AC655" s="1"/>
      <c r="AD655" s="1"/>
      <c r="AE655" s="1" t="s">
        <v>3727</v>
      </c>
      <c r="AF655" s="1" t="s">
        <v>9</v>
      </c>
      <c r="AG655" s="1" t="s">
        <v>9</v>
      </c>
      <c r="AH655" s="1"/>
      <c r="AI655" s="6">
        <v>44926</v>
      </c>
    </row>
    <row r="656" spans="1:35" x14ac:dyDescent="0.3">
      <c r="A656" s="1" t="s">
        <v>1617</v>
      </c>
      <c r="B656" s="2" t="str">
        <f>HYPERLINK("https://my.zakupki.prom.ua/remote/dispatcher/state_purchase_view/34685979")</f>
        <v>https://my.zakupki.prom.ua/remote/dispatcher/state_purchase_view/34685979</v>
      </c>
      <c r="C656" s="1" t="s">
        <v>3020</v>
      </c>
      <c r="D656" s="1" t="s">
        <v>208</v>
      </c>
      <c r="E656" s="1" t="s">
        <v>4903</v>
      </c>
      <c r="F656" s="1" t="s">
        <v>4903</v>
      </c>
      <c r="G656" s="1" t="s">
        <v>4903</v>
      </c>
      <c r="H656" s="1" t="s">
        <v>678</v>
      </c>
      <c r="I656" s="1" t="s">
        <v>2856</v>
      </c>
      <c r="J656" s="5">
        <v>77928</v>
      </c>
      <c r="K656" s="1" t="s">
        <v>3394</v>
      </c>
      <c r="L656" s="5">
        <v>389.64</v>
      </c>
      <c r="M656" s="1" t="s">
        <v>2308</v>
      </c>
      <c r="N656" s="1" t="s">
        <v>3983</v>
      </c>
      <c r="O656" s="1" t="s">
        <v>2521</v>
      </c>
      <c r="P656" s="1" t="s">
        <v>3956</v>
      </c>
      <c r="Q656" s="1" t="s">
        <v>3426</v>
      </c>
      <c r="R656" s="1" t="s">
        <v>4081</v>
      </c>
      <c r="S656" s="1" t="s">
        <v>4937</v>
      </c>
      <c r="T656" s="6">
        <v>44593</v>
      </c>
      <c r="U656" s="6">
        <v>44599</v>
      </c>
      <c r="V656" s="7">
        <v>0.50555555555555554</v>
      </c>
      <c r="W656" s="6">
        <v>44602</v>
      </c>
      <c r="X656" s="7">
        <v>0.50555555555555554</v>
      </c>
      <c r="Y656" s="1" t="s">
        <v>4860</v>
      </c>
      <c r="Z656" s="5">
        <v>340</v>
      </c>
      <c r="AA656" s="1" t="s">
        <v>3403</v>
      </c>
      <c r="AB656" s="1"/>
      <c r="AC656" s="1"/>
      <c r="AD656" s="1"/>
      <c r="AE656" s="1" t="s">
        <v>3765</v>
      </c>
      <c r="AF656" s="1" t="s">
        <v>9</v>
      </c>
      <c r="AG656" s="4">
        <v>1</v>
      </c>
      <c r="AH656" s="1"/>
      <c r="AI656" s="6">
        <v>44926</v>
      </c>
    </row>
    <row r="657" spans="1:35" x14ac:dyDescent="0.3">
      <c r="A657" s="1" t="s">
        <v>1380</v>
      </c>
      <c r="B657" s="2" t="str">
        <f>HYPERLINK("https://my.zakupki.prom.ua/remote/dispatcher/state_purchase_view/34685952")</f>
        <v>https://my.zakupki.prom.ua/remote/dispatcher/state_purchase_view/34685952</v>
      </c>
      <c r="C657" s="1" t="s">
        <v>3248</v>
      </c>
      <c r="D657" s="1" t="s">
        <v>806</v>
      </c>
      <c r="E657" s="4">
        <v>1</v>
      </c>
      <c r="F657" s="5">
        <v>380000</v>
      </c>
      <c r="G657" s="1" t="s">
        <v>4989</v>
      </c>
      <c r="H657" s="1" t="s">
        <v>1014</v>
      </c>
      <c r="I657" s="1" t="s">
        <v>2945</v>
      </c>
      <c r="J657" s="5">
        <v>380000</v>
      </c>
      <c r="K657" s="1" t="s">
        <v>3394</v>
      </c>
      <c r="L657" s="5">
        <v>1900</v>
      </c>
      <c r="M657" s="1" t="s">
        <v>2308</v>
      </c>
      <c r="N657" s="1" t="s">
        <v>3983</v>
      </c>
      <c r="O657" s="1" t="s">
        <v>2521</v>
      </c>
      <c r="P657" s="1" t="s">
        <v>2515</v>
      </c>
      <c r="Q657" s="1" t="s">
        <v>3264</v>
      </c>
      <c r="R657" s="1" t="s">
        <v>4048</v>
      </c>
      <c r="S657" s="1" t="s">
        <v>4971</v>
      </c>
      <c r="T657" s="6">
        <v>44593</v>
      </c>
      <c r="U657" s="6">
        <v>44593</v>
      </c>
      <c r="V657" s="7">
        <v>0.51377314814814812</v>
      </c>
      <c r="W657" s="6">
        <v>44609</v>
      </c>
      <c r="X657" s="7">
        <v>0.58333333333333337</v>
      </c>
      <c r="Y657" s="8">
        <v>44610.510810185187</v>
      </c>
      <c r="Z657" s="5">
        <v>510</v>
      </c>
      <c r="AA657" s="1" t="s">
        <v>3403</v>
      </c>
      <c r="AB657" s="1"/>
      <c r="AC657" s="1"/>
      <c r="AD657" s="1"/>
      <c r="AE657" s="1" t="s">
        <v>3768</v>
      </c>
      <c r="AF657" s="1" t="s">
        <v>9</v>
      </c>
      <c r="AG657" s="1" t="s">
        <v>9</v>
      </c>
      <c r="AH657" s="6">
        <v>44635</v>
      </c>
      <c r="AI657" s="6">
        <v>44635</v>
      </c>
    </row>
    <row r="658" spans="1:35" x14ac:dyDescent="0.3">
      <c r="A658" s="1" t="s">
        <v>1613</v>
      </c>
      <c r="B658" s="2" t="str">
        <f>HYPERLINK("https://my.zakupki.prom.ua/remote/dispatcher/state_purchase_view/34685923")</f>
        <v>https://my.zakupki.prom.ua/remote/dispatcher/state_purchase_view/34685923</v>
      </c>
      <c r="C658" s="1" t="s">
        <v>2600</v>
      </c>
      <c r="D658" s="1" t="s">
        <v>490</v>
      </c>
      <c r="E658" s="1" t="s">
        <v>4903</v>
      </c>
      <c r="F658" s="1" t="s">
        <v>4903</v>
      </c>
      <c r="G658" s="1" t="s">
        <v>4903</v>
      </c>
      <c r="H658" s="1" t="s">
        <v>112</v>
      </c>
      <c r="I658" s="1" t="s">
        <v>3133</v>
      </c>
      <c r="J658" s="5">
        <v>39400</v>
      </c>
      <c r="K658" s="1" t="s">
        <v>3394</v>
      </c>
      <c r="L658" s="5">
        <v>197</v>
      </c>
      <c r="M658" s="1" t="s">
        <v>2308</v>
      </c>
      <c r="N658" s="1" t="s">
        <v>3983</v>
      </c>
      <c r="O658" s="1" t="s">
        <v>2521</v>
      </c>
      <c r="P658" s="1" t="s">
        <v>3956</v>
      </c>
      <c r="Q658" s="1" t="s">
        <v>4831</v>
      </c>
      <c r="R658" s="1" t="s">
        <v>4218</v>
      </c>
      <c r="S658" s="1" t="s">
        <v>4937</v>
      </c>
      <c r="T658" s="6">
        <v>44593</v>
      </c>
      <c r="U658" s="6">
        <v>44599</v>
      </c>
      <c r="V658" s="7">
        <v>0</v>
      </c>
      <c r="W658" s="6">
        <v>44602</v>
      </c>
      <c r="X658" s="7">
        <v>0</v>
      </c>
      <c r="Y658" s="1" t="s">
        <v>4860</v>
      </c>
      <c r="Z658" s="5">
        <v>119</v>
      </c>
      <c r="AA658" s="1" t="s">
        <v>3403</v>
      </c>
      <c r="AB658" s="1"/>
      <c r="AC658" s="1"/>
      <c r="AD658" s="1"/>
      <c r="AE658" s="1" t="s">
        <v>3788</v>
      </c>
      <c r="AF658" s="1" t="s">
        <v>9</v>
      </c>
      <c r="AG658" s="1" t="s">
        <v>9</v>
      </c>
      <c r="AH658" s="1"/>
      <c r="AI658" s="6">
        <v>44926</v>
      </c>
    </row>
    <row r="659" spans="1:35" x14ac:dyDescent="0.3">
      <c r="A659" s="1" t="s">
        <v>1611</v>
      </c>
      <c r="B659" s="2" t="str">
        <f>HYPERLINK("https://my.zakupki.prom.ua/remote/dispatcher/state_purchase_view/34685922")</f>
        <v>https://my.zakupki.prom.ua/remote/dispatcher/state_purchase_view/34685922</v>
      </c>
      <c r="C659" s="1" t="s">
        <v>3064</v>
      </c>
      <c r="D659" s="1" t="s">
        <v>461</v>
      </c>
      <c r="E659" s="4">
        <v>5904</v>
      </c>
      <c r="F659" s="5">
        <v>50</v>
      </c>
      <c r="G659" s="1" t="s">
        <v>4902</v>
      </c>
      <c r="H659" s="1" t="s">
        <v>1074</v>
      </c>
      <c r="I659" s="1" t="s">
        <v>2444</v>
      </c>
      <c r="J659" s="5">
        <v>295200</v>
      </c>
      <c r="K659" s="1" t="s">
        <v>3394</v>
      </c>
      <c r="L659" s="5">
        <v>2952</v>
      </c>
      <c r="M659" s="1" t="s">
        <v>2308</v>
      </c>
      <c r="N659" s="1" t="s">
        <v>3403</v>
      </c>
      <c r="O659" s="1" t="s">
        <v>1267</v>
      </c>
      <c r="P659" s="1" t="s">
        <v>2515</v>
      </c>
      <c r="Q659" s="1" t="s">
        <v>2808</v>
      </c>
      <c r="R659" s="1" t="s">
        <v>4081</v>
      </c>
      <c r="S659" s="1" t="s">
        <v>4971</v>
      </c>
      <c r="T659" s="6">
        <v>44593</v>
      </c>
      <c r="U659" s="6">
        <v>44593</v>
      </c>
      <c r="V659" s="7">
        <v>0.50732500271990733</v>
      </c>
      <c r="W659" s="6">
        <v>44609</v>
      </c>
      <c r="X659" s="7">
        <v>0</v>
      </c>
      <c r="Y659" s="8">
        <v>44609.623715277776</v>
      </c>
      <c r="Z659" s="5">
        <v>510</v>
      </c>
      <c r="AA659" s="1" t="s">
        <v>3403</v>
      </c>
      <c r="AB659" s="1"/>
      <c r="AC659" s="1"/>
      <c r="AD659" s="1"/>
      <c r="AE659" s="1" t="s">
        <v>3804</v>
      </c>
      <c r="AF659" s="1" t="s">
        <v>9</v>
      </c>
      <c r="AG659" s="1" t="s">
        <v>9</v>
      </c>
      <c r="AH659" s="1"/>
      <c r="AI659" s="6">
        <v>44926</v>
      </c>
    </row>
    <row r="660" spans="1:35" x14ac:dyDescent="0.3">
      <c r="A660" s="1" t="s">
        <v>2004</v>
      </c>
      <c r="B660" s="2" t="str">
        <f>HYPERLINK("https://my.zakupki.prom.ua/remote/dispatcher/state_purchase_view/34679555")</f>
        <v>https://my.zakupki.prom.ua/remote/dispatcher/state_purchase_view/34679555</v>
      </c>
      <c r="C660" s="1" t="s">
        <v>2339</v>
      </c>
      <c r="D660" s="1" t="s">
        <v>831</v>
      </c>
      <c r="E660" s="1" t="s">
        <v>4903</v>
      </c>
      <c r="F660" s="1" t="s">
        <v>4903</v>
      </c>
      <c r="G660" s="1" t="s">
        <v>4903</v>
      </c>
      <c r="H660" s="1" t="s">
        <v>251</v>
      </c>
      <c r="I660" s="1" t="s">
        <v>2948</v>
      </c>
      <c r="J660" s="5">
        <v>302000</v>
      </c>
      <c r="K660" s="1" t="s">
        <v>3394</v>
      </c>
      <c r="L660" s="5">
        <v>3000</v>
      </c>
      <c r="M660" s="1" t="s">
        <v>2308</v>
      </c>
      <c r="N660" s="1" t="s">
        <v>3983</v>
      </c>
      <c r="O660" s="1" t="s">
        <v>1268</v>
      </c>
      <c r="P660" s="1" t="s">
        <v>2515</v>
      </c>
      <c r="Q660" s="1" t="s">
        <v>2820</v>
      </c>
      <c r="R660" s="1" t="s">
        <v>4384</v>
      </c>
      <c r="S660" s="1" t="s">
        <v>4971</v>
      </c>
      <c r="T660" s="6">
        <v>44593</v>
      </c>
      <c r="U660" s="6">
        <v>44593</v>
      </c>
      <c r="V660" s="7">
        <v>0.51214912925925926</v>
      </c>
      <c r="W660" s="6">
        <v>44609</v>
      </c>
      <c r="X660" s="7">
        <v>0.41666666666666669</v>
      </c>
      <c r="Y660" s="8">
        <v>44610.53</v>
      </c>
      <c r="Z660" s="5">
        <v>510</v>
      </c>
      <c r="AA660" s="1" t="s">
        <v>3403</v>
      </c>
      <c r="AB660" s="1"/>
      <c r="AC660" s="1"/>
      <c r="AD660" s="1"/>
      <c r="AE660" s="1" t="s">
        <v>3818</v>
      </c>
      <c r="AF660" s="1" t="s">
        <v>9</v>
      </c>
      <c r="AG660" s="4">
        <v>33</v>
      </c>
      <c r="AH660" s="1"/>
      <c r="AI660" s="6">
        <v>44926</v>
      </c>
    </row>
    <row r="661" spans="1:35" x14ac:dyDescent="0.3">
      <c r="A661" s="1" t="s">
        <v>2003</v>
      </c>
      <c r="B661" s="2" t="str">
        <f>HYPERLINK("https://my.zakupki.prom.ua/remote/dispatcher/state_purchase_lot_view/740673")</f>
        <v>https://my.zakupki.prom.ua/remote/dispatcher/state_purchase_lot_view/740673</v>
      </c>
      <c r="C661" s="1" t="s">
        <v>3367</v>
      </c>
      <c r="D661" s="1" t="s">
        <v>1231</v>
      </c>
      <c r="E661" s="4">
        <v>1</v>
      </c>
      <c r="F661" s="5">
        <v>5400</v>
      </c>
      <c r="G661" s="1" t="s">
        <v>4940</v>
      </c>
      <c r="H661" s="1" t="s">
        <v>286</v>
      </c>
      <c r="I661" s="1" t="s">
        <v>2826</v>
      </c>
      <c r="J661" s="5">
        <v>43640</v>
      </c>
      <c r="K661" s="5">
        <v>5400</v>
      </c>
      <c r="L661" s="5">
        <v>54</v>
      </c>
      <c r="M661" s="1" t="s">
        <v>2308</v>
      </c>
      <c r="N661" s="1" t="s">
        <v>3983</v>
      </c>
      <c r="O661" s="1" t="s">
        <v>2521</v>
      </c>
      <c r="P661" s="1" t="s">
        <v>3956</v>
      </c>
      <c r="Q661" s="1" t="s">
        <v>3992</v>
      </c>
      <c r="R661" s="1" t="s">
        <v>4081</v>
      </c>
      <c r="S661" s="1" t="s">
        <v>4937</v>
      </c>
      <c r="T661" s="6">
        <v>44593</v>
      </c>
      <c r="U661" s="6">
        <v>44599</v>
      </c>
      <c r="V661" s="7">
        <v>0</v>
      </c>
      <c r="W661" s="6">
        <v>44602</v>
      </c>
      <c r="X661" s="7">
        <v>0</v>
      </c>
      <c r="Y661" s="1" t="s">
        <v>4860</v>
      </c>
      <c r="Z661" s="5">
        <v>17</v>
      </c>
      <c r="AA661" s="1" t="s">
        <v>3403</v>
      </c>
      <c r="AB661" s="1"/>
      <c r="AC661" s="1"/>
      <c r="AD661" s="1"/>
      <c r="AE661" s="1" t="s">
        <v>3716</v>
      </c>
      <c r="AF661" s="1" t="s">
        <v>9</v>
      </c>
      <c r="AG661" s="1" t="s">
        <v>9</v>
      </c>
      <c r="AH661" s="1"/>
      <c r="AI661" s="6">
        <v>44926</v>
      </c>
    </row>
    <row r="662" spans="1:35" x14ac:dyDescent="0.3">
      <c r="A662" s="1" t="s">
        <v>2003</v>
      </c>
      <c r="B662" s="2" t="str">
        <f>HYPERLINK("https://my.zakupki.prom.ua/remote/dispatcher/state_purchase_lot_view/740674")</f>
        <v>https://my.zakupki.prom.ua/remote/dispatcher/state_purchase_lot_view/740674</v>
      </c>
      <c r="C662" s="1" t="s">
        <v>3366</v>
      </c>
      <c r="D662" s="1" t="s">
        <v>1231</v>
      </c>
      <c r="E662" s="4">
        <v>1</v>
      </c>
      <c r="F662" s="5">
        <v>4560</v>
      </c>
      <c r="G662" s="1" t="s">
        <v>4940</v>
      </c>
      <c r="H662" s="1" t="s">
        <v>286</v>
      </c>
      <c r="I662" s="1" t="s">
        <v>2826</v>
      </c>
      <c r="J662" s="5">
        <v>43640</v>
      </c>
      <c r="K662" s="5">
        <v>4560</v>
      </c>
      <c r="L662" s="5">
        <v>45.6</v>
      </c>
      <c r="M662" s="1" t="s">
        <v>2308</v>
      </c>
      <c r="N662" s="1" t="s">
        <v>3983</v>
      </c>
      <c r="O662" s="1" t="s">
        <v>2521</v>
      </c>
      <c r="P662" s="1" t="s">
        <v>3956</v>
      </c>
      <c r="Q662" s="1" t="s">
        <v>3992</v>
      </c>
      <c r="R662" s="1" t="s">
        <v>4081</v>
      </c>
      <c r="S662" s="1" t="s">
        <v>4937</v>
      </c>
      <c r="T662" s="6">
        <v>44593</v>
      </c>
      <c r="U662" s="6">
        <v>44599</v>
      </c>
      <c r="V662" s="7">
        <v>0</v>
      </c>
      <c r="W662" s="6">
        <v>44602</v>
      </c>
      <c r="X662" s="7">
        <v>0</v>
      </c>
      <c r="Y662" s="1" t="s">
        <v>4860</v>
      </c>
      <c r="Z662" s="5">
        <v>17</v>
      </c>
      <c r="AA662" s="1" t="s">
        <v>3403</v>
      </c>
      <c r="AB662" s="1"/>
      <c r="AC662" s="1"/>
      <c r="AD662" s="1"/>
      <c r="AE662" s="1" t="s">
        <v>3716</v>
      </c>
      <c r="AF662" s="1" t="s">
        <v>9</v>
      </c>
      <c r="AG662" s="1" t="s">
        <v>9</v>
      </c>
      <c r="AH662" s="1"/>
      <c r="AI662" s="6">
        <v>44926</v>
      </c>
    </row>
    <row r="663" spans="1:35" x14ac:dyDescent="0.3">
      <c r="A663" s="1" t="s">
        <v>2003</v>
      </c>
      <c r="B663" s="2" t="str">
        <f>HYPERLINK("https://my.zakupki.prom.ua/remote/dispatcher/state_purchase_lot_view/740675")</f>
        <v>https://my.zakupki.prom.ua/remote/dispatcher/state_purchase_lot_view/740675</v>
      </c>
      <c r="C663" s="1" t="s">
        <v>3370</v>
      </c>
      <c r="D663" s="1" t="s">
        <v>1231</v>
      </c>
      <c r="E663" s="4">
        <v>1</v>
      </c>
      <c r="F663" s="5">
        <v>3240</v>
      </c>
      <c r="G663" s="1" t="s">
        <v>4940</v>
      </c>
      <c r="H663" s="1" t="s">
        <v>286</v>
      </c>
      <c r="I663" s="1" t="s">
        <v>2826</v>
      </c>
      <c r="J663" s="5">
        <v>43640</v>
      </c>
      <c r="K663" s="5">
        <v>3240</v>
      </c>
      <c r="L663" s="5">
        <v>32.4</v>
      </c>
      <c r="M663" s="1" t="s">
        <v>2308</v>
      </c>
      <c r="N663" s="1" t="s">
        <v>3983</v>
      </c>
      <c r="O663" s="1" t="s">
        <v>2521</v>
      </c>
      <c r="P663" s="1" t="s">
        <v>3956</v>
      </c>
      <c r="Q663" s="1" t="s">
        <v>3992</v>
      </c>
      <c r="R663" s="1" t="s">
        <v>4081</v>
      </c>
      <c r="S663" s="1" t="s">
        <v>4937</v>
      </c>
      <c r="T663" s="6">
        <v>44593</v>
      </c>
      <c r="U663" s="6">
        <v>44599</v>
      </c>
      <c r="V663" s="7">
        <v>0</v>
      </c>
      <c r="W663" s="6">
        <v>44602</v>
      </c>
      <c r="X663" s="7">
        <v>0</v>
      </c>
      <c r="Y663" s="1" t="s">
        <v>4860</v>
      </c>
      <c r="Z663" s="5">
        <v>17</v>
      </c>
      <c r="AA663" s="1" t="s">
        <v>3403</v>
      </c>
      <c r="AB663" s="1"/>
      <c r="AC663" s="1"/>
      <c r="AD663" s="1"/>
      <c r="AE663" s="1" t="s">
        <v>3716</v>
      </c>
      <c r="AF663" s="1" t="s">
        <v>9</v>
      </c>
      <c r="AG663" s="1" t="s">
        <v>9</v>
      </c>
      <c r="AH663" s="1"/>
      <c r="AI663" s="6">
        <v>44926</v>
      </c>
    </row>
    <row r="664" spans="1:35" x14ac:dyDescent="0.3">
      <c r="A664" s="1" t="s">
        <v>2003</v>
      </c>
      <c r="B664" s="2" t="str">
        <f>HYPERLINK("https://my.zakupki.prom.ua/remote/dispatcher/state_purchase_lot_view/740676")</f>
        <v>https://my.zakupki.prom.ua/remote/dispatcher/state_purchase_lot_view/740676</v>
      </c>
      <c r="C664" s="1" t="s">
        <v>3374</v>
      </c>
      <c r="D664" s="1" t="s">
        <v>1231</v>
      </c>
      <c r="E664" s="4">
        <v>1</v>
      </c>
      <c r="F664" s="5">
        <v>3240</v>
      </c>
      <c r="G664" s="1" t="s">
        <v>4940</v>
      </c>
      <c r="H664" s="1" t="s">
        <v>286</v>
      </c>
      <c r="I664" s="1" t="s">
        <v>2826</v>
      </c>
      <c r="J664" s="5">
        <v>43640</v>
      </c>
      <c r="K664" s="5">
        <v>3240</v>
      </c>
      <c r="L664" s="5">
        <v>32.4</v>
      </c>
      <c r="M664" s="1" t="s">
        <v>2308</v>
      </c>
      <c r="N664" s="1" t="s">
        <v>3983</v>
      </c>
      <c r="O664" s="1" t="s">
        <v>2521</v>
      </c>
      <c r="P664" s="1" t="s">
        <v>3956</v>
      </c>
      <c r="Q664" s="1" t="s">
        <v>3992</v>
      </c>
      <c r="R664" s="1" t="s">
        <v>4081</v>
      </c>
      <c r="S664" s="1" t="s">
        <v>4937</v>
      </c>
      <c r="T664" s="6">
        <v>44593</v>
      </c>
      <c r="U664" s="6">
        <v>44599</v>
      </c>
      <c r="V664" s="7">
        <v>0</v>
      </c>
      <c r="W664" s="6">
        <v>44602</v>
      </c>
      <c r="X664" s="7">
        <v>0</v>
      </c>
      <c r="Y664" s="1" t="s">
        <v>4860</v>
      </c>
      <c r="Z664" s="5">
        <v>17</v>
      </c>
      <c r="AA664" s="1" t="s">
        <v>3403</v>
      </c>
      <c r="AB664" s="1"/>
      <c r="AC664" s="1"/>
      <c r="AD664" s="1"/>
      <c r="AE664" s="1" t="s">
        <v>3716</v>
      </c>
      <c r="AF664" s="1" t="s">
        <v>9</v>
      </c>
      <c r="AG664" s="1" t="s">
        <v>9</v>
      </c>
      <c r="AH664" s="1"/>
      <c r="AI664" s="6">
        <v>44926</v>
      </c>
    </row>
    <row r="665" spans="1:35" x14ac:dyDescent="0.3">
      <c r="A665" s="1" t="s">
        <v>2003</v>
      </c>
      <c r="B665" s="2" t="str">
        <f>HYPERLINK("https://my.zakupki.prom.ua/remote/dispatcher/state_purchase_lot_view/740677")</f>
        <v>https://my.zakupki.prom.ua/remote/dispatcher/state_purchase_lot_view/740677</v>
      </c>
      <c r="C665" s="1" t="s">
        <v>3371</v>
      </c>
      <c r="D665" s="1" t="s">
        <v>1231</v>
      </c>
      <c r="E665" s="4">
        <v>1</v>
      </c>
      <c r="F665" s="5">
        <v>4240</v>
      </c>
      <c r="G665" s="1" t="s">
        <v>4940</v>
      </c>
      <c r="H665" s="1" t="s">
        <v>286</v>
      </c>
      <c r="I665" s="1" t="s">
        <v>2826</v>
      </c>
      <c r="J665" s="5">
        <v>43640</v>
      </c>
      <c r="K665" s="5">
        <v>4240</v>
      </c>
      <c r="L665" s="5">
        <v>42.4</v>
      </c>
      <c r="M665" s="1" t="s">
        <v>2308</v>
      </c>
      <c r="N665" s="1" t="s">
        <v>3983</v>
      </c>
      <c r="O665" s="1" t="s">
        <v>2521</v>
      </c>
      <c r="P665" s="1" t="s">
        <v>3956</v>
      </c>
      <c r="Q665" s="1" t="s">
        <v>3992</v>
      </c>
      <c r="R665" s="1" t="s">
        <v>4081</v>
      </c>
      <c r="S665" s="1" t="s">
        <v>4937</v>
      </c>
      <c r="T665" s="6">
        <v>44593</v>
      </c>
      <c r="U665" s="6">
        <v>44599</v>
      </c>
      <c r="V665" s="7">
        <v>0</v>
      </c>
      <c r="W665" s="6">
        <v>44602</v>
      </c>
      <c r="X665" s="7">
        <v>0</v>
      </c>
      <c r="Y665" s="1" t="s">
        <v>4860</v>
      </c>
      <c r="Z665" s="5">
        <v>17</v>
      </c>
      <c r="AA665" s="1" t="s">
        <v>3403</v>
      </c>
      <c r="AB665" s="1"/>
      <c r="AC665" s="1"/>
      <c r="AD665" s="1"/>
      <c r="AE665" s="1" t="s">
        <v>3716</v>
      </c>
      <c r="AF665" s="1" t="s">
        <v>9</v>
      </c>
      <c r="AG665" s="1" t="s">
        <v>9</v>
      </c>
      <c r="AH665" s="1"/>
      <c r="AI665" s="6">
        <v>44926</v>
      </c>
    </row>
    <row r="666" spans="1:35" x14ac:dyDescent="0.3">
      <c r="A666" s="1" t="s">
        <v>2003</v>
      </c>
      <c r="B666" s="2" t="str">
        <f>HYPERLINK("https://my.zakupki.prom.ua/remote/dispatcher/state_purchase_lot_view/740678")</f>
        <v>https://my.zakupki.prom.ua/remote/dispatcher/state_purchase_lot_view/740678</v>
      </c>
      <c r="C666" s="1" t="s">
        <v>3373</v>
      </c>
      <c r="D666" s="1" t="s">
        <v>1231</v>
      </c>
      <c r="E666" s="4">
        <v>1</v>
      </c>
      <c r="F666" s="5">
        <v>3240</v>
      </c>
      <c r="G666" s="1" t="s">
        <v>4940</v>
      </c>
      <c r="H666" s="1" t="s">
        <v>286</v>
      </c>
      <c r="I666" s="1" t="s">
        <v>2826</v>
      </c>
      <c r="J666" s="5">
        <v>43640</v>
      </c>
      <c r="K666" s="5">
        <v>3240</v>
      </c>
      <c r="L666" s="5">
        <v>32.4</v>
      </c>
      <c r="M666" s="1" t="s">
        <v>2308</v>
      </c>
      <c r="N666" s="1" t="s">
        <v>3983</v>
      </c>
      <c r="O666" s="1" t="s">
        <v>2521</v>
      </c>
      <c r="P666" s="1" t="s">
        <v>3956</v>
      </c>
      <c r="Q666" s="1" t="s">
        <v>3992</v>
      </c>
      <c r="R666" s="1" t="s">
        <v>4081</v>
      </c>
      <c r="S666" s="1" t="s">
        <v>4937</v>
      </c>
      <c r="T666" s="6">
        <v>44593</v>
      </c>
      <c r="U666" s="6">
        <v>44599</v>
      </c>
      <c r="V666" s="7">
        <v>0</v>
      </c>
      <c r="W666" s="6">
        <v>44602</v>
      </c>
      <c r="X666" s="7">
        <v>0</v>
      </c>
      <c r="Y666" s="1" t="s">
        <v>4860</v>
      </c>
      <c r="Z666" s="5">
        <v>17</v>
      </c>
      <c r="AA666" s="1" t="s">
        <v>3403</v>
      </c>
      <c r="AB666" s="1"/>
      <c r="AC666" s="1"/>
      <c r="AD666" s="1"/>
      <c r="AE666" s="1" t="s">
        <v>3716</v>
      </c>
      <c r="AF666" s="1" t="s">
        <v>9</v>
      </c>
      <c r="AG666" s="1" t="s">
        <v>9</v>
      </c>
      <c r="AH666" s="1"/>
      <c r="AI666" s="6">
        <v>44926</v>
      </c>
    </row>
    <row r="667" spans="1:35" x14ac:dyDescent="0.3">
      <c r="A667" s="1" t="s">
        <v>2003</v>
      </c>
      <c r="B667" s="2" t="str">
        <f>HYPERLINK("https://my.zakupki.prom.ua/remote/dispatcher/state_purchase_lot_view/740679")</f>
        <v>https://my.zakupki.prom.ua/remote/dispatcher/state_purchase_lot_view/740679</v>
      </c>
      <c r="C667" s="1" t="s">
        <v>3369</v>
      </c>
      <c r="D667" s="1" t="s">
        <v>1231</v>
      </c>
      <c r="E667" s="4">
        <v>1</v>
      </c>
      <c r="F667" s="5">
        <v>5040</v>
      </c>
      <c r="G667" s="1" t="s">
        <v>4940</v>
      </c>
      <c r="H667" s="1" t="s">
        <v>286</v>
      </c>
      <c r="I667" s="1" t="s">
        <v>2826</v>
      </c>
      <c r="J667" s="5">
        <v>43640</v>
      </c>
      <c r="K667" s="5">
        <v>5040</v>
      </c>
      <c r="L667" s="5">
        <v>50.4</v>
      </c>
      <c r="M667" s="1" t="s">
        <v>2308</v>
      </c>
      <c r="N667" s="1" t="s">
        <v>3983</v>
      </c>
      <c r="O667" s="1" t="s">
        <v>2521</v>
      </c>
      <c r="P667" s="1" t="s">
        <v>3956</v>
      </c>
      <c r="Q667" s="1" t="s">
        <v>3992</v>
      </c>
      <c r="R667" s="1" t="s">
        <v>4081</v>
      </c>
      <c r="S667" s="1" t="s">
        <v>4937</v>
      </c>
      <c r="T667" s="6">
        <v>44593</v>
      </c>
      <c r="U667" s="6">
        <v>44599</v>
      </c>
      <c r="V667" s="7">
        <v>0</v>
      </c>
      <c r="W667" s="6">
        <v>44602</v>
      </c>
      <c r="X667" s="7">
        <v>0</v>
      </c>
      <c r="Y667" s="1" t="s">
        <v>4860</v>
      </c>
      <c r="Z667" s="5">
        <v>17</v>
      </c>
      <c r="AA667" s="1" t="s">
        <v>3403</v>
      </c>
      <c r="AB667" s="1"/>
      <c r="AC667" s="1"/>
      <c r="AD667" s="1"/>
      <c r="AE667" s="1" t="s">
        <v>3716</v>
      </c>
      <c r="AF667" s="1" t="s">
        <v>9</v>
      </c>
      <c r="AG667" s="1" t="s">
        <v>9</v>
      </c>
      <c r="AH667" s="1"/>
      <c r="AI667" s="6">
        <v>44926</v>
      </c>
    </row>
    <row r="668" spans="1:35" x14ac:dyDescent="0.3">
      <c r="A668" s="1" t="s">
        <v>2003</v>
      </c>
      <c r="B668" s="2" t="str">
        <f>HYPERLINK("https://my.zakupki.prom.ua/remote/dispatcher/state_purchase_lot_view/740680")</f>
        <v>https://my.zakupki.prom.ua/remote/dispatcher/state_purchase_lot_view/740680</v>
      </c>
      <c r="C668" s="1" t="s">
        <v>3368</v>
      </c>
      <c r="D668" s="1" t="s">
        <v>1231</v>
      </c>
      <c r="E668" s="4">
        <v>1</v>
      </c>
      <c r="F668" s="5">
        <v>5560</v>
      </c>
      <c r="G668" s="1" t="s">
        <v>4940</v>
      </c>
      <c r="H668" s="1" t="s">
        <v>286</v>
      </c>
      <c r="I668" s="1" t="s">
        <v>2826</v>
      </c>
      <c r="J668" s="5">
        <v>43640</v>
      </c>
      <c r="K668" s="5">
        <v>5560</v>
      </c>
      <c r="L668" s="5">
        <v>55.6</v>
      </c>
      <c r="M668" s="1" t="s">
        <v>2308</v>
      </c>
      <c r="N668" s="1" t="s">
        <v>3983</v>
      </c>
      <c r="O668" s="1" t="s">
        <v>2521</v>
      </c>
      <c r="P668" s="1" t="s">
        <v>3956</v>
      </c>
      <c r="Q668" s="1" t="s">
        <v>3992</v>
      </c>
      <c r="R668" s="1" t="s">
        <v>4081</v>
      </c>
      <c r="S668" s="1" t="s">
        <v>4937</v>
      </c>
      <c r="T668" s="6">
        <v>44593</v>
      </c>
      <c r="U668" s="6">
        <v>44599</v>
      </c>
      <c r="V668" s="7">
        <v>0</v>
      </c>
      <c r="W668" s="6">
        <v>44602</v>
      </c>
      <c r="X668" s="7">
        <v>0</v>
      </c>
      <c r="Y668" s="1" t="s">
        <v>4860</v>
      </c>
      <c r="Z668" s="5">
        <v>17</v>
      </c>
      <c r="AA668" s="1" t="s">
        <v>3403</v>
      </c>
      <c r="AB668" s="1"/>
      <c r="AC668" s="1"/>
      <c r="AD668" s="1"/>
      <c r="AE668" s="1" t="s">
        <v>3716</v>
      </c>
      <c r="AF668" s="1" t="s">
        <v>9</v>
      </c>
      <c r="AG668" s="1" t="s">
        <v>9</v>
      </c>
      <c r="AH668" s="1"/>
      <c r="AI668" s="6">
        <v>44926</v>
      </c>
    </row>
    <row r="669" spans="1:35" x14ac:dyDescent="0.3">
      <c r="A669" s="1" t="s">
        <v>2003</v>
      </c>
      <c r="B669" s="2" t="str">
        <f>HYPERLINK("https://my.zakupki.prom.ua/remote/dispatcher/state_purchase_lot_view/740681")</f>
        <v>https://my.zakupki.prom.ua/remote/dispatcher/state_purchase_lot_view/740681</v>
      </c>
      <c r="C669" s="1" t="s">
        <v>3375</v>
      </c>
      <c r="D669" s="1" t="s">
        <v>1231</v>
      </c>
      <c r="E669" s="4">
        <v>1</v>
      </c>
      <c r="F669" s="5">
        <v>4560</v>
      </c>
      <c r="G669" s="1" t="s">
        <v>4940</v>
      </c>
      <c r="H669" s="1" t="s">
        <v>286</v>
      </c>
      <c r="I669" s="1" t="s">
        <v>2826</v>
      </c>
      <c r="J669" s="5">
        <v>43640</v>
      </c>
      <c r="K669" s="5">
        <v>4560</v>
      </c>
      <c r="L669" s="5">
        <v>45.6</v>
      </c>
      <c r="M669" s="1" t="s">
        <v>2308</v>
      </c>
      <c r="N669" s="1" t="s">
        <v>3983</v>
      </c>
      <c r="O669" s="1" t="s">
        <v>2521</v>
      </c>
      <c r="P669" s="1" t="s">
        <v>3956</v>
      </c>
      <c r="Q669" s="1" t="s">
        <v>3992</v>
      </c>
      <c r="R669" s="1" t="s">
        <v>4081</v>
      </c>
      <c r="S669" s="1" t="s">
        <v>4937</v>
      </c>
      <c r="T669" s="6">
        <v>44593</v>
      </c>
      <c r="U669" s="6">
        <v>44599</v>
      </c>
      <c r="V669" s="7">
        <v>0</v>
      </c>
      <c r="W669" s="6">
        <v>44602</v>
      </c>
      <c r="X669" s="7">
        <v>0</v>
      </c>
      <c r="Y669" s="1" t="s">
        <v>4860</v>
      </c>
      <c r="Z669" s="5">
        <v>17</v>
      </c>
      <c r="AA669" s="1" t="s">
        <v>3403</v>
      </c>
      <c r="AB669" s="1"/>
      <c r="AC669" s="1"/>
      <c r="AD669" s="1"/>
      <c r="AE669" s="1" t="s">
        <v>3716</v>
      </c>
      <c r="AF669" s="1" t="s">
        <v>9</v>
      </c>
      <c r="AG669" s="1" t="s">
        <v>9</v>
      </c>
      <c r="AH669" s="1"/>
      <c r="AI669" s="6">
        <v>44926</v>
      </c>
    </row>
    <row r="670" spans="1:35" x14ac:dyDescent="0.3">
      <c r="A670" s="1" t="s">
        <v>2003</v>
      </c>
      <c r="B670" s="2" t="str">
        <f>HYPERLINK("https://my.zakupki.prom.ua/remote/dispatcher/state_purchase_lot_view/740682")</f>
        <v>https://my.zakupki.prom.ua/remote/dispatcher/state_purchase_lot_view/740682</v>
      </c>
      <c r="C670" s="1" t="s">
        <v>3372</v>
      </c>
      <c r="D670" s="1" t="s">
        <v>1231</v>
      </c>
      <c r="E670" s="4">
        <v>1</v>
      </c>
      <c r="F670" s="5">
        <v>4560</v>
      </c>
      <c r="G670" s="1" t="s">
        <v>4940</v>
      </c>
      <c r="H670" s="1" t="s">
        <v>286</v>
      </c>
      <c r="I670" s="1" t="s">
        <v>2826</v>
      </c>
      <c r="J670" s="5">
        <v>43640</v>
      </c>
      <c r="K670" s="5">
        <v>4560</v>
      </c>
      <c r="L670" s="5">
        <v>45.6</v>
      </c>
      <c r="M670" s="1" t="s">
        <v>2308</v>
      </c>
      <c r="N670" s="1" t="s">
        <v>3983</v>
      </c>
      <c r="O670" s="1" t="s">
        <v>2521</v>
      </c>
      <c r="P670" s="1" t="s">
        <v>3956</v>
      </c>
      <c r="Q670" s="1" t="s">
        <v>3992</v>
      </c>
      <c r="R670" s="1" t="s">
        <v>4081</v>
      </c>
      <c r="S670" s="1" t="s">
        <v>4937</v>
      </c>
      <c r="T670" s="6">
        <v>44593</v>
      </c>
      <c r="U670" s="6">
        <v>44599</v>
      </c>
      <c r="V670" s="7">
        <v>0</v>
      </c>
      <c r="W670" s="6">
        <v>44602</v>
      </c>
      <c r="X670" s="7">
        <v>0</v>
      </c>
      <c r="Y670" s="1" t="s">
        <v>4860</v>
      </c>
      <c r="Z670" s="5">
        <v>17</v>
      </c>
      <c r="AA670" s="1" t="s">
        <v>3403</v>
      </c>
      <c r="AB670" s="1"/>
      <c r="AC670" s="1"/>
      <c r="AD670" s="1"/>
      <c r="AE670" s="1" t="s">
        <v>3716</v>
      </c>
      <c r="AF670" s="1" t="s">
        <v>9</v>
      </c>
      <c r="AG670" s="1" t="s">
        <v>9</v>
      </c>
      <c r="AH670" s="1"/>
      <c r="AI670" s="6">
        <v>44926</v>
      </c>
    </row>
    <row r="671" spans="1:35" x14ac:dyDescent="0.3">
      <c r="A671" s="1" t="s">
        <v>2002</v>
      </c>
      <c r="B671" s="2" t="str">
        <f>HYPERLINK("https://my.zakupki.prom.ua/remote/dispatcher/state_purchase_view/34685875")</f>
        <v>https://my.zakupki.prom.ua/remote/dispatcher/state_purchase_view/34685875</v>
      </c>
      <c r="C671" s="1" t="s">
        <v>2764</v>
      </c>
      <c r="D671" s="1" t="s">
        <v>269</v>
      </c>
      <c r="E671" s="4">
        <v>58</v>
      </c>
      <c r="F671" s="5">
        <v>3400</v>
      </c>
      <c r="G671" s="1" t="s">
        <v>4921</v>
      </c>
      <c r="H671" s="1" t="s">
        <v>247</v>
      </c>
      <c r="I671" s="1" t="s">
        <v>3951</v>
      </c>
      <c r="J671" s="5">
        <v>197200</v>
      </c>
      <c r="K671" s="1" t="s">
        <v>3394</v>
      </c>
      <c r="L671" s="5">
        <v>986</v>
      </c>
      <c r="M671" s="1" t="s">
        <v>2308</v>
      </c>
      <c r="N671" s="1" t="s">
        <v>3983</v>
      </c>
      <c r="O671" s="1" t="s">
        <v>2521</v>
      </c>
      <c r="P671" s="1" t="s">
        <v>3956</v>
      </c>
      <c r="Q671" s="1" t="s">
        <v>2761</v>
      </c>
      <c r="R671" s="1" t="s">
        <v>4291</v>
      </c>
      <c r="S671" s="1" t="s">
        <v>4937</v>
      </c>
      <c r="T671" s="6">
        <v>44593</v>
      </c>
      <c r="U671" s="6">
        <v>44599</v>
      </c>
      <c r="V671" s="7">
        <v>0</v>
      </c>
      <c r="W671" s="6">
        <v>44602</v>
      </c>
      <c r="X671" s="7">
        <v>0</v>
      </c>
      <c r="Y671" s="1" t="s">
        <v>4860</v>
      </c>
      <c r="Z671" s="5">
        <v>340</v>
      </c>
      <c r="AA671" s="1" t="s">
        <v>3403</v>
      </c>
      <c r="AB671" s="1"/>
      <c r="AC671" s="1"/>
      <c r="AD671" s="1"/>
      <c r="AE671" s="1" t="s">
        <v>3788</v>
      </c>
      <c r="AF671" s="1" t="s">
        <v>9</v>
      </c>
      <c r="AG671" s="1" t="s">
        <v>9</v>
      </c>
      <c r="AH671" s="1"/>
      <c r="AI671" s="6">
        <v>44926</v>
      </c>
    </row>
    <row r="672" spans="1:35" x14ac:dyDescent="0.3">
      <c r="A672" s="1" t="s">
        <v>2001</v>
      </c>
      <c r="B672" s="2" t="str">
        <f>HYPERLINK("https://my.zakupki.prom.ua/remote/dispatcher/state_purchase_view/34685847")</f>
        <v>https://my.zakupki.prom.ua/remote/dispatcher/state_purchase_view/34685847</v>
      </c>
      <c r="C672" s="1" t="s">
        <v>3</v>
      </c>
      <c r="D672" s="1" t="s">
        <v>466</v>
      </c>
      <c r="E672" s="1" t="s">
        <v>4903</v>
      </c>
      <c r="F672" s="1" t="s">
        <v>4903</v>
      </c>
      <c r="G672" s="1" t="s">
        <v>4903</v>
      </c>
      <c r="H672" s="1" t="s">
        <v>532</v>
      </c>
      <c r="I672" s="1" t="s">
        <v>3903</v>
      </c>
      <c r="J672" s="5">
        <v>570160</v>
      </c>
      <c r="K672" s="1" t="s">
        <v>3394</v>
      </c>
      <c r="L672" s="5">
        <v>2851</v>
      </c>
      <c r="M672" s="1" t="s">
        <v>2308</v>
      </c>
      <c r="N672" s="1" t="s">
        <v>3983</v>
      </c>
      <c r="O672" s="1" t="s">
        <v>2521</v>
      </c>
      <c r="P672" s="1" t="s">
        <v>2515</v>
      </c>
      <c r="Q672" s="1" t="s">
        <v>3426</v>
      </c>
      <c r="R672" s="1" t="s">
        <v>4191</v>
      </c>
      <c r="S672" s="1" t="s">
        <v>4971</v>
      </c>
      <c r="T672" s="6">
        <v>44593</v>
      </c>
      <c r="U672" s="6">
        <v>44593</v>
      </c>
      <c r="V672" s="7">
        <v>0.51068465291666665</v>
      </c>
      <c r="W672" s="6">
        <v>44609</v>
      </c>
      <c r="X672" s="7">
        <v>0</v>
      </c>
      <c r="Y672" s="8">
        <v>44609.58662037037</v>
      </c>
      <c r="Z672" s="5">
        <v>510</v>
      </c>
      <c r="AA672" s="1" t="s">
        <v>3403</v>
      </c>
      <c r="AB672" s="1"/>
      <c r="AC672" s="1"/>
      <c r="AD672" s="1"/>
      <c r="AE672" s="1" t="s">
        <v>3768</v>
      </c>
      <c r="AF672" s="1" t="s">
        <v>9</v>
      </c>
      <c r="AG672" s="4">
        <v>13</v>
      </c>
      <c r="AH672" s="1"/>
      <c r="AI672" s="6">
        <v>44926</v>
      </c>
    </row>
    <row r="673" spans="1:35" x14ac:dyDescent="0.3">
      <c r="A673" s="1" t="s">
        <v>2000</v>
      </c>
      <c r="B673" s="2" t="str">
        <f>HYPERLINK("https://my.zakupki.prom.ua/remote/dispatcher/state_purchase_view/34685802")</f>
        <v>https://my.zakupki.prom.ua/remote/dispatcher/state_purchase_view/34685802</v>
      </c>
      <c r="C673" s="1" t="s">
        <v>3227</v>
      </c>
      <c r="D673" s="1" t="s">
        <v>485</v>
      </c>
      <c r="E673" s="1" t="s">
        <v>4903</v>
      </c>
      <c r="F673" s="1" t="s">
        <v>4903</v>
      </c>
      <c r="G673" s="1" t="s">
        <v>4903</v>
      </c>
      <c r="H673" s="1" t="s">
        <v>191</v>
      </c>
      <c r="I673" s="1" t="s">
        <v>3208</v>
      </c>
      <c r="J673" s="5">
        <v>199939.9</v>
      </c>
      <c r="K673" s="1" t="s">
        <v>3394</v>
      </c>
      <c r="L673" s="5">
        <v>999.7</v>
      </c>
      <c r="M673" s="1" t="s">
        <v>2308</v>
      </c>
      <c r="N673" s="1" t="s">
        <v>3983</v>
      </c>
      <c r="O673" s="1" t="s">
        <v>2521</v>
      </c>
      <c r="P673" s="1" t="s">
        <v>3956</v>
      </c>
      <c r="Q673" s="1" t="s">
        <v>4798</v>
      </c>
      <c r="R673" s="1" t="s">
        <v>4678</v>
      </c>
      <c r="S673" s="1" t="s">
        <v>4937</v>
      </c>
      <c r="T673" s="6">
        <v>44593</v>
      </c>
      <c r="U673" s="6">
        <v>44600</v>
      </c>
      <c r="V673" s="7">
        <v>0.50555555555555554</v>
      </c>
      <c r="W673" s="6">
        <v>44603</v>
      </c>
      <c r="X673" s="7">
        <v>0.50555555555555554</v>
      </c>
      <c r="Y673" s="1" t="s">
        <v>4860</v>
      </c>
      <c r="Z673" s="5">
        <v>340</v>
      </c>
      <c r="AA673" s="1" t="s">
        <v>3403</v>
      </c>
      <c r="AB673" s="1"/>
      <c r="AC673" s="1"/>
      <c r="AD673" s="1"/>
      <c r="AE673" s="1" t="s">
        <v>3767</v>
      </c>
      <c r="AF673" s="1" t="s">
        <v>9</v>
      </c>
      <c r="AG673" s="4">
        <v>31</v>
      </c>
      <c r="AH673" s="1"/>
      <c r="AI673" s="6">
        <v>44926</v>
      </c>
    </row>
    <row r="674" spans="1:35" x14ac:dyDescent="0.3">
      <c r="A674" s="1" t="s">
        <v>1999</v>
      </c>
      <c r="B674" s="2" t="str">
        <f>HYPERLINK("https://my.zakupki.prom.ua/remote/dispatcher/state_purchase_view/34685775")</f>
        <v>https://my.zakupki.prom.ua/remote/dispatcher/state_purchase_view/34685775</v>
      </c>
      <c r="C674" s="1" t="s">
        <v>3408</v>
      </c>
      <c r="D674" s="1" t="s">
        <v>461</v>
      </c>
      <c r="E674" s="1" t="s">
        <v>4903</v>
      </c>
      <c r="F674" s="1" t="s">
        <v>4903</v>
      </c>
      <c r="G674" s="1" t="s">
        <v>4903</v>
      </c>
      <c r="H674" s="1" t="s">
        <v>185</v>
      </c>
      <c r="I674" s="1" t="s">
        <v>3398</v>
      </c>
      <c r="J674" s="5">
        <v>186987.13</v>
      </c>
      <c r="K674" s="1" t="s">
        <v>3394</v>
      </c>
      <c r="L674" s="5">
        <v>934.94</v>
      </c>
      <c r="M674" s="1" t="s">
        <v>2308</v>
      </c>
      <c r="N674" s="1" t="s">
        <v>3983</v>
      </c>
      <c r="O674" s="1" t="s">
        <v>2521</v>
      </c>
      <c r="P674" s="1" t="s">
        <v>3956</v>
      </c>
      <c r="Q674" s="1" t="s">
        <v>3426</v>
      </c>
      <c r="R674" s="1" t="s">
        <v>4197</v>
      </c>
      <c r="S674" s="1" t="s">
        <v>4937</v>
      </c>
      <c r="T674" s="6">
        <v>44593</v>
      </c>
      <c r="U674" s="6">
        <v>44599</v>
      </c>
      <c r="V674" s="7">
        <v>0.39583333333333331</v>
      </c>
      <c r="W674" s="6">
        <v>44602</v>
      </c>
      <c r="X674" s="7">
        <v>0</v>
      </c>
      <c r="Y674" s="1" t="s">
        <v>4860</v>
      </c>
      <c r="Z674" s="5">
        <v>340</v>
      </c>
      <c r="AA674" s="1" t="s">
        <v>3403</v>
      </c>
      <c r="AB674" s="1"/>
      <c r="AC674" s="1"/>
      <c r="AD674" s="1"/>
      <c r="AE674" s="1" t="s">
        <v>3774</v>
      </c>
      <c r="AF674" s="1" t="s">
        <v>9</v>
      </c>
      <c r="AG674" s="1" t="s">
        <v>9</v>
      </c>
      <c r="AH674" s="6">
        <v>44593</v>
      </c>
      <c r="AI674" s="6">
        <v>44926</v>
      </c>
    </row>
    <row r="675" spans="1:35" x14ac:dyDescent="0.3">
      <c r="A675" s="1" t="s">
        <v>1602</v>
      </c>
      <c r="B675" s="2" t="str">
        <f>HYPERLINK("https://my.zakupki.prom.ua/remote/dispatcher/state_purchase_view/34685761")</f>
        <v>https://my.zakupki.prom.ua/remote/dispatcher/state_purchase_view/34685761</v>
      </c>
      <c r="C675" s="1" t="s">
        <v>1243</v>
      </c>
      <c r="D675" s="1" t="s">
        <v>1243</v>
      </c>
      <c r="E675" s="4">
        <v>12</v>
      </c>
      <c r="F675" s="5">
        <v>1041.67</v>
      </c>
      <c r="G675" s="1" t="s">
        <v>4940</v>
      </c>
      <c r="H675" s="1" t="s">
        <v>935</v>
      </c>
      <c r="I675" s="1" t="s">
        <v>2798</v>
      </c>
      <c r="J675" s="5">
        <v>12500</v>
      </c>
      <c r="K675" s="1" t="s">
        <v>3394</v>
      </c>
      <c r="L675" s="5">
        <v>125</v>
      </c>
      <c r="M675" s="1" t="s">
        <v>2308</v>
      </c>
      <c r="N675" s="1" t="s">
        <v>3983</v>
      </c>
      <c r="O675" s="1" t="s">
        <v>2521</v>
      </c>
      <c r="P675" s="1" t="s">
        <v>3956</v>
      </c>
      <c r="Q675" s="1" t="s">
        <v>2528</v>
      </c>
      <c r="R675" s="1" t="s">
        <v>4268</v>
      </c>
      <c r="S675" s="1" t="s">
        <v>4937</v>
      </c>
      <c r="T675" s="6">
        <v>44593</v>
      </c>
      <c r="U675" s="6">
        <v>44599</v>
      </c>
      <c r="V675" s="7">
        <v>0</v>
      </c>
      <c r="W675" s="6">
        <v>44602</v>
      </c>
      <c r="X675" s="7">
        <v>0</v>
      </c>
      <c r="Y675" s="1" t="s">
        <v>4860</v>
      </c>
      <c r="Z675" s="5">
        <v>17</v>
      </c>
      <c r="AA675" s="1" t="s">
        <v>3403</v>
      </c>
      <c r="AB675" s="1"/>
      <c r="AC675" s="1"/>
      <c r="AD675" s="1"/>
      <c r="AE675" s="1" t="s">
        <v>3747</v>
      </c>
      <c r="AF675" s="1" t="s">
        <v>9</v>
      </c>
      <c r="AG675" s="1" t="s">
        <v>9</v>
      </c>
      <c r="AH675" s="1"/>
      <c r="AI675" s="6">
        <v>44926</v>
      </c>
    </row>
    <row r="676" spans="1:35" x14ac:dyDescent="0.3">
      <c r="A676" s="1" t="s">
        <v>1606</v>
      </c>
      <c r="B676" s="2" t="str">
        <f>HYPERLINK("https://my.zakupki.prom.ua/remote/dispatcher/state_purchase_view/34685758")</f>
        <v>https://my.zakupki.prom.ua/remote/dispatcher/state_purchase_view/34685758</v>
      </c>
      <c r="C676" s="1" t="s">
        <v>3417</v>
      </c>
      <c r="D676" s="1" t="s">
        <v>213</v>
      </c>
      <c r="E676" s="4">
        <v>19800</v>
      </c>
      <c r="F676" s="5">
        <v>22.73</v>
      </c>
      <c r="G676" s="1" t="s">
        <v>4902</v>
      </c>
      <c r="H676" s="1" t="s">
        <v>178</v>
      </c>
      <c r="I676" s="1" t="s">
        <v>4007</v>
      </c>
      <c r="J676" s="5">
        <v>450000</v>
      </c>
      <c r="K676" s="1" t="s">
        <v>3394</v>
      </c>
      <c r="L676" s="5">
        <v>2250</v>
      </c>
      <c r="M676" s="1" t="s">
        <v>2308</v>
      </c>
      <c r="N676" s="1" t="s">
        <v>3983</v>
      </c>
      <c r="O676" s="1" t="s">
        <v>2521</v>
      </c>
      <c r="P676" s="1" t="s">
        <v>2515</v>
      </c>
      <c r="Q676" s="1" t="s">
        <v>2528</v>
      </c>
      <c r="R676" s="1" t="s">
        <v>4112</v>
      </c>
      <c r="S676" s="1" t="s">
        <v>4971</v>
      </c>
      <c r="T676" s="6">
        <v>44593</v>
      </c>
      <c r="U676" s="6">
        <v>44593</v>
      </c>
      <c r="V676" s="7">
        <v>0.50504650348379632</v>
      </c>
      <c r="W676" s="6">
        <v>44609</v>
      </c>
      <c r="X676" s="7">
        <v>0</v>
      </c>
      <c r="Y676" s="8">
        <v>44609.580879629626</v>
      </c>
      <c r="Z676" s="5">
        <v>510</v>
      </c>
      <c r="AA676" s="1" t="s">
        <v>3403</v>
      </c>
      <c r="AB676" s="1"/>
      <c r="AC676" s="1"/>
      <c r="AD676" s="1"/>
      <c r="AE676" s="1" t="s">
        <v>3775</v>
      </c>
      <c r="AF676" s="1" t="s">
        <v>9</v>
      </c>
      <c r="AG676" s="4">
        <v>2</v>
      </c>
      <c r="AH676" s="1"/>
      <c r="AI676" s="6">
        <v>44926</v>
      </c>
    </row>
    <row r="677" spans="1:35" x14ac:dyDescent="0.3">
      <c r="A677" s="1" t="s">
        <v>1365</v>
      </c>
      <c r="B677" s="2" t="str">
        <f>HYPERLINK("https://my.zakupki.prom.ua/remote/dispatcher/state_purchase_view/34685748")</f>
        <v>https://my.zakupki.prom.ua/remote/dispatcher/state_purchase_view/34685748</v>
      </c>
      <c r="C677" s="1" t="s">
        <v>3282</v>
      </c>
      <c r="D677" s="1" t="s">
        <v>441</v>
      </c>
      <c r="E677" s="4">
        <v>2</v>
      </c>
      <c r="F677" s="5">
        <v>44750</v>
      </c>
      <c r="G677" s="1" t="s">
        <v>4924</v>
      </c>
      <c r="H677" s="1" t="s">
        <v>630</v>
      </c>
      <c r="I677" s="1" t="s">
        <v>3198</v>
      </c>
      <c r="J677" s="5">
        <v>89500</v>
      </c>
      <c r="K677" s="1" t="s">
        <v>3394</v>
      </c>
      <c r="L677" s="5">
        <v>447.5</v>
      </c>
      <c r="M677" s="1" t="s">
        <v>2308</v>
      </c>
      <c r="N677" s="1" t="s">
        <v>3983</v>
      </c>
      <c r="O677" s="1" t="s">
        <v>2521</v>
      </c>
      <c r="P677" s="1" t="s">
        <v>3956</v>
      </c>
      <c r="Q677" s="1" t="s">
        <v>2528</v>
      </c>
      <c r="R677" s="1" t="s">
        <v>4341</v>
      </c>
      <c r="S677" s="1" t="s">
        <v>4937</v>
      </c>
      <c r="T677" s="6">
        <v>44593</v>
      </c>
      <c r="U677" s="6">
        <v>44599</v>
      </c>
      <c r="V677" s="7">
        <v>0.375</v>
      </c>
      <c r="W677" s="6">
        <v>44602</v>
      </c>
      <c r="X677" s="7">
        <v>0.375</v>
      </c>
      <c r="Y677" s="1" t="s">
        <v>4860</v>
      </c>
      <c r="Z677" s="5">
        <v>340</v>
      </c>
      <c r="AA677" s="1" t="s">
        <v>3403</v>
      </c>
      <c r="AB677" s="1"/>
      <c r="AC677" s="1"/>
      <c r="AD677" s="1"/>
      <c r="AE677" s="1" t="s">
        <v>3771</v>
      </c>
      <c r="AF677" s="1" t="s">
        <v>9</v>
      </c>
      <c r="AG677" s="4">
        <v>2</v>
      </c>
      <c r="AH677" s="1"/>
      <c r="AI677" s="6">
        <v>44712</v>
      </c>
    </row>
    <row r="678" spans="1:35" x14ac:dyDescent="0.3">
      <c r="A678" s="1" t="s">
        <v>1997</v>
      </c>
      <c r="B678" s="2" t="str">
        <f>HYPERLINK("https://my.zakupki.prom.ua/remote/dispatcher/state_purchase_view/34685738")</f>
        <v>https://my.zakupki.prom.ua/remote/dispatcher/state_purchase_view/34685738</v>
      </c>
      <c r="C678" s="1" t="s">
        <v>387</v>
      </c>
      <c r="D678" s="1" t="s">
        <v>387</v>
      </c>
      <c r="E678" s="4">
        <v>3800000</v>
      </c>
      <c r="F678" s="5">
        <v>4.6500000000000004</v>
      </c>
      <c r="G678" s="1" t="s">
        <v>3235</v>
      </c>
      <c r="H678" s="1" t="s">
        <v>252</v>
      </c>
      <c r="I678" s="1" t="s">
        <v>2992</v>
      </c>
      <c r="J678" s="5">
        <v>17670000</v>
      </c>
      <c r="K678" s="1" t="s">
        <v>3394</v>
      </c>
      <c r="L678" s="5">
        <v>88350</v>
      </c>
      <c r="M678" s="1" t="s">
        <v>2308</v>
      </c>
      <c r="N678" s="1" t="s">
        <v>3983</v>
      </c>
      <c r="O678" s="1" t="s">
        <v>2521</v>
      </c>
      <c r="P678" s="1" t="s">
        <v>2516</v>
      </c>
      <c r="Q678" s="1" t="s">
        <v>3035</v>
      </c>
      <c r="R678" s="1" t="s">
        <v>4493</v>
      </c>
      <c r="S678" s="1" t="s">
        <v>4971</v>
      </c>
      <c r="T678" s="6">
        <v>44593</v>
      </c>
      <c r="U678" s="6">
        <v>44593</v>
      </c>
      <c r="V678" s="7">
        <v>0.50862251973379624</v>
      </c>
      <c r="W678" s="6">
        <v>44624</v>
      </c>
      <c r="X678" s="7">
        <v>0.33333333333333331</v>
      </c>
      <c r="Y678" s="8">
        <v>44662.506469907406</v>
      </c>
      <c r="Z678" s="5">
        <v>3400</v>
      </c>
      <c r="AA678" s="1" t="s">
        <v>3403</v>
      </c>
      <c r="AB678" s="1"/>
      <c r="AC678" s="1"/>
      <c r="AD678" s="1"/>
      <c r="AE678" s="1" t="s">
        <v>3788</v>
      </c>
      <c r="AF678" s="1" t="s">
        <v>9</v>
      </c>
      <c r="AG678" s="4">
        <v>1</v>
      </c>
      <c r="AH678" s="1"/>
      <c r="AI678" s="6">
        <v>44926</v>
      </c>
    </row>
    <row r="679" spans="1:35" x14ac:dyDescent="0.3">
      <c r="A679" s="1" t="s">
        <v>1610</v>
      </c>
      <c r="B679" s="2" t="str">
        <f>HYPERLINK("https://my.zakupki.prom.ua/remote/dispatcher/state_purchase_view/34685717")</f>
        <v>https://my.zakupki.prom.ua/remote/dispatcher/state_purchase_view/34685717</v>
      </c>
      <c r="C679" s="1" t="s">
        <v>763</v>
      </c>
      <c r="D679" s="1" t="s">
        <v>764</v>
      </c>
      <c r="E679" s="1" t="s">
        <v>4903</v>
      </c>
      <c r="F679" s="1" t="s">
        <v>4903</v>
      </c>
      <c r="G679" s="1" t="s">
        <v>4903</v>
      </c>
      <c r="H679" s="1" t="s">
        <v>120</v>
      </c>
      <c r="I679" s="1" t="s">
        <v>3151</v>
      </c>
      <c r="J679" s="5">
        <v>275000</v>
      </c>
      <c r="K679" s="1" t="s">
        <v>3394</v>
      </c>
      <c r="L679" s="5">
        <v>1375</v>
      </c>
      <c r="M679" s="1" t="s">
        <v>2308</v>
      </c>
      <c r="N679" s="1" t="s">
        <v>3983</v>
      </c>
      <c r="O679" s="1" t="s">
        <v>2521</v>
      </c>
      <c r="P679" s="1" t="s">
        <v>2516</v>
      </c>
      <c r="Q679" s="1" t="s">
        <v>4831</v>
      </c>
      <c r="R679" s="1" t="s">
        <v>4332</v>
      </c>
      <c r="S679" s="1" t="s">
        <v>4971</v>
      </c>
      <c r="T679" s="6">
        <v>44593</v>
      </c>
      <c r="U679" s="6">
        <v>44593</v>
      </c>
      <c r="V679" s="7">
        <v>0.50699517114583337</v>
      </c>
      <c r="W679" s="6">
        <v>44624</v>
      </c>
      <c r="X679" s="7">
        <v>0</v>
      </c>
      <c r="Y679" s="8">
        <v>44659.663622685184</v>
      </c>
      <c r="Z679" s="5">
        <v>510</v>
      </c>
      <c r="AA679" s="1" t="s">
        <v>3403</v>
      </c>
      <c r="AB679" s="1"/>
      <c r="AC679" s="1"/>
      <c r="AD679" s="1"/>
      <c r="AE679" s="1" t="s">
        <v>3767</v>
      </c>
      <c r="AF679" s="1" t="s">
        <v>9</v>
      </c>
      <c r="AG679" s="4">
        <v>34</v>
      </c>
      <c r="AH679" s="1"/>
      <c r="AI679" s="6">
        <v>44926</v>
      </c>
    </row>
    <row r="680" spans="1:35" x14ac:dyDescent="0.3">
      <c r="A680" s="1" t="s">
        <v>1995</v>
      </c>
      <c r="B680" s="2" t="str">
        <f>HYPERLINK("https://my.zakupki.prom.ua/remote/dispatcher/state_purchase_view/34685708")</f>
        <v>https://my.zakupki.prom.ua/remote/dispatcher/state_purchase_view/34685708</v>
      </c>
      <c r="C680" s="1" t="s">
        <v>3927</v>
      </c>
      <c r="D680" s="1" t="s">
        <v>758</v>
      </c>
      <c r="E680" s="1" t="s">
        <v>4903</v>
      </c>
      <c r="F680" s="1" t="s">
        <v>4903</v>
      </c>
      <c r="G680" s="1" t="s">
        <v>4903</v>
      </c>
      <c r="H680" s="1" t="s">
        <v>125</v>
      </c>
      <c r="I680" s="1" t="s">
        <v>2887</v>
      </c>
      <c r="J680" s="5">
        <v>550000</v>
      </c>
      <c r="K680" s="1" t="s">
        <v>3394</v>
      </c>
      <c r="L680" s="5">
        <v>2750</v>
      </c>
      <c r="M680" s="1" t="s">
        <v>2308</v>
      </c>
      <c r="N680" s="1" t="s">
        <v>3983</v>
      </c>
      <c r="O680" s="1" t="s">
        <v>2521</v>
      </c>
      <c r="P680" s="1" t="s">
        <v>2515</v>
      </c>
      <c r="Q680" s="1" t="s">
        <v>4834</v>
      </c>
      <c r="R680" s="1" t="s">
        <v>4081</v>
      </c>
      <c r="S680" s="1" t="s">
        <v>4971</v>
      </c>
      <c r="T680" s="6">
        <v>44593</v>
      </c>
      <c r="U680" s="6">
        <v>44593</v>
      </c>
      <c r="V680" s="7">
        <v>0.50930555555555557</v>
      </c>
      <c r="W680" s="6">
        <v>44609</v>
      </c>
      <c r="X680" s="7">
        <v>0.58333333333333337</v>
      </c>
      <c r="Y680" s="8">
        <v>44610.490185185183</v>
      </c>
      <c r="Z680" s="5">
        <v>510</v>
      </c>
      <c r="AA680" s="1" t="s">
        <v>3403</v>
      </c>
      <c r="AB680" s="1"/>
      <c r="AC680" s="1"/>
      <c r="AD680" s="1"/>
      <c r="AE680" s="1" t="s">
        <v>3765</v>
      </c>
      <c r="AF680" s="1" t="s">
        <v>9</v>
      </c>
      <c r="AG680" s="4">
        <v>7</v>
      </c>
      <c r="AH680" s="1"/>
      <c r="AI680" s="6">
        <v>44926</v>
      </c>
    </row>
    <row r="681" spans="1:35" x14ac:dyDescent="0.3">
      <c r="A681" s="1" t="s">
        <v>1991</v>
      </c>
      <c r="B681" s="2" t="str">
        <f>HYPERLINK("https://my.zakupki.prom.ua/remote/dispatcher/state_purchase_view/34685694")</f>
        <v>https://my.zakupki.prom.ua/remote/dispatcher/state_purchase_view/34685694</v>
      </c>
      <c r="C681" s="1" t="s">
        <v>3684</v>
      </c>
      <c r="D681" s="1" t="s">
        <v>960</v>
      </c>
      <c r="E681" s="1" t="s">
        <v>4903</v>
      </c>
      <c r="F681" s="1" t="s">
        <v>4903</v>
      </c>
      <c r="G681" s="1" t="s">
        <v>4903</v>
      </c>
      <c r="H681" s="1" t="s">
        <v>189</v>
      </c>
      <c r="I681" s="1" t="s">
        <v>3002</v>
      </c>
      <c r="J681" s="5">
        <v>550000</v>
      </c>
      <c r="K681" s="1" t="s">
        <v>3394</v>
      </c>
      <c r="L681" s="5">
        <v>2750</v>
      </c>
      <c r="M681" s="1" t="s">
        <v>2308</v>
      </c>
      <c r="N681" s="1" t="s">
        <v>3983</v>
      </c>
      <c r="O681" s="1" t="s">
        <v>439</v>
      </c>
      <c r="P681" s="1" t="s">
        <v>2515</v>
      </c>
      <c r="Q681" s="1" t="s">
        <v>4794</v>
      </c>
      <c r="R681" s="1" t="s">
        <v>4234</v>
      </c>
      <c r="S681" s="1" t="s">
        <v>4971</v>
      </c>
      <c r="T681" s="6">
        <v>44593</v>
      </c>
      <c r="U681" s="6">
        <v>44593</v>
      </c>
      <c r="V681" s="7">
        <v>0.50598079050925926</v>
      </c>
      <c r="W681" s="6">
        <v>44609</v>
      </c>
      <c r="X681" s="7">
        <v>0</v>
      </c>
      <c r="Y681" s="8">
        <v>44609.550636574073</v>
      </c>
      <c r="Z681" s="5">
        <v>510</v>
      </c>
      <c r="AA681" s="1" t="s">
        <v>3403</v>
      </c>
      <c r="AB681" s="1"/>
      <c r="AC681" s="1"/>
      <c r="AD681" s="1"/>
      <c r="AE681" s="1" t="s">
        <v>3774</v>
      </c>
      <c r="AF681" s="1" t="s">
        <v>9</v>
      </c>
      <c r="AG681" s="4">
        <v>2</v>
      </c>
      <c r="AH681" s="1"/>
      <c r="AI681" s="6">
        <v>44926</v>
      </c>
    </row>
    <row r="682" spans="1:35" x14ac:dyDescent="0.3">
      <c r="A682" s="1" t="s">
        <v>1603</v>
      </c>
      <c r="B682" s="2" t="str">
        <f>HYPERLINK("https://my.zakupki.prom.ua/remote/dispatcher/state_purchase_view/34685693")</f>
        <v>https://my.zakupki.prom.ua/remote/dispatcher/state_purchase_view/34685693</v>
      </c>
      <c r="C682" s="1" t="s">
        <v>4761</v>
      </c>
      <c r="D682" s="1" t="s">
        <v>1130</v>
      </c>
      <c r="E682" s="4">
        <v>21</v>
      </c>
      <c r="F682" s="5">
        <v>411.29</v>
      </c>
      <c r="G682" s="1" t="s">
        <v>4924</v>
      </c>
      <c r="H682" s="1" t="s">
        <v>667</v>
      </c>
      <c r="I682" s="1" t="s">
        <v>2819</v>
      </c>
      <c r="J682" s="5">
        <v>8637</v>
      </c>
      <c r="K682" s="1" t="s">
        <v>3394</v>
      </c>
      <c r="L682" s="5">
        <v>43.19</v>
      </c>
      <c r="M682" s="1" t="s">
        <v>2308</v>
      </c>
      <c r="N682" s="1" t="s">
        <v>3983</v>
      </c>
      <c r="O682" s="1" t="s">
        <v>2521</v>
      </c>
      <c r="P682" s="1" t="s">
        <v>2762</v>
      </c>
      <c r="Q682" s="1" t="s">
        <v>2820</v>
      </c>
      <c r="R682" s="1" t="s">
        <v>4349</v>
      </c>
      <c r="S682" s="1" t="s">
        <v>4937</v>
      </c>
      <c r="T682" s="6">
        <v>44593</v>
      </c>
      <c r="U682" s="6">
        <v>44599</v>
      </c>
      <c r="V682" s="7">
        <v>0.50785879629629627</v>
      </c>
      <c r="W682" s="6">
        <v>44602</v>
      </c>
      <c r="X682" s="7">
        <v>0.50785879629629627</v>
      </c>
      <c r="Y682" s="1" t="s">
        <v>4860</v>
      </c>
      <c r="Z682" s="5">
        <v>17</v>
      </c>
      <c r="AA682" s="1" t="s">
        <v>3403</v>
      </c>
      <c r="AB682" s="1"/>
      <c r="AC682" s="1"/>
      <c r="AD682" s="1"/>
      <c r="AE682" s="1" t="s">
        <v>3765</v>
      </c>
      <c r="AF682" s="1" t="s">
        <v>9</v>
      </c>
      <c r="AG682" s="4">
        <v>2</v>
      </c>
      <c r="AH682" s="1"/>
      <c r="AI682" s="6">
        <v>44926</v>
      </c>
    </row>
    <row r="683" spans="1:35" x14ac:dyDescent="0.3">
      <c r="A683" s="1" t="s">
        <v>1994</v>
      </c>
      <c r="B683" s="2" t="str">
        <f>HYPERLINK("https://my.zakupki.prom.ua/remote/dispatcher/state_purchase_view/34685652")</f>
        <v>https://my.zakupki.prom.ua/remote/dispatcher/state_purchase_view/34685652</v>
      </c>
      <c r="C683" s="1" t="s">
        <v>4800</v>
      </c>
      <c r="D683" s="1" t="s">
        <v>495</v>
      </c>
      <c r="E683" s="1" t="s">
        <v>4903</v>
      </c>
      <c r="F683" s="1" t="s">
        <v>4903</v>
      </c>
      <c r="G683" s="1" t="s">
        <v>4903</v>
      </c>
      <c r="H683" s="1" t="s">
        <v>1100</v>
      </c>
      <c r="I683" s="1" t="s">
        <v>2487</v>
      </c>
      <c r="J683" s="5">
        <v>124850</v>
      </c>
      <c r="K683" s="1" t="s">
        <v>3394</v>
      </c>
      <c r="L683" s="5">
        <v>624.25</v>
      </c>
      <c r="M683" s="1" t="s">
        <v>2308</v>
      </c>
      <c r="N683" s="1" t="s">
        <v>3983</v>
      </c>
      <c r="O683" s="1" t="s">
        <v>2521</v>
      </c>
      <c r="P683" s="1" t="s">
        <v>3956</v>
      </c>
      <c r="Q683" s="1" t="s">
        <v>3035</v>
      </c>
      <c r="R683" s="1" t="s">
        <v>4081</v>
      </c>
      <c r="S683" s="1" t="s">
        <v>4937</v>
      </c>
      <c r="T683" s="6">
        <v>44593</v>
      </c>
      <c r="U683" s="6">
        <v>44599</v>
      </c>
      <c r="V683" s="7">
        <v>0.51015046296296296</v>
      </c>
      <c r="W683" s="6">
        <v>44602</v>
      </c>
      <c r="X683" s="7">
        <v>0.51015046296296296</v>
      </c>
      <c r="Y683" s="1" t="s">
        <v>4860</v>
      </c>
      <c r="Z683" s="5">
        <v>340</v>
      </c>
      <c r="AA683" s="1" t="s">
        <v>3403</v>
      </c>
      <c r="AB683" s="1"/>
      <c r="AC683" s="1"/>
      <c r="AD683" s="1"/>
      <c r="AE683" s="1" t="s">
        <v>3765</v>
      </c>
      <c r="AF683" s="1" t="s">
        <v>9</v>
      </c>
      <c r="AG683" s="4">
        <v>4</v>
      </c>
      <c r="AH683" s="1"/>
      <c r="AI683" s="6">
        <v>44926</v>
      </c>
    </row>
    <row r="684" spans="1:35" x14ac:dyDescent="0.3">
      <c r="A684" s="1" t="s">
        <v>1605</v>
      </c>
      <c r="B684" s="2" t="str">
        <f>HYPERLINK("https://my.zakupki.prom.ua/remote/dispatcher/state_purchase_view/34685645")</f>
        <v>https://my.zakupki.prom.ua/remote/dispatcher/state_purchase_view/34685645</v>
      </c>
      <c r="C684" s="1" t="s">
        <v>2658</v>
      </c>
      <c r="D684" s="1" t="s">
        <v>1158</v>
      </c>
      <c r="E684" s="4">
        <v>1</v>
      </c>
      <c r="F684" s="5">
        <v>60000</v>
      </c>
      <c r="G684" s="1" t="s">
        <v>4940</v>
      </c>
      <c r="H684" s="1" t="s">
        <v>1031</v>
      </c>
      <c r="I684" s="1" t="s">
        <v>4719</v>
      </c>
      <c r="J684" s="5">
        <v>60000</v>
      </c>
      <c r="K684" s="1" t="s">
        <v>3394</v>
      </c>
      <c r="L684" s="5">
        <v>300</v>
      </c>
      <c r="M684" s="1" t="s">
        <v>2308</v>
      </c>
      <c r="N684" s="1" t="s">
        <v>3983</v>
      </c>
      <c r="O684" s="1" t="s">
        <v>2521</v>
      </c>
      <c r="P684" s="1" t="s">
        <v>3956</v>
      </c>
      <c r="Q684" s="1" t="s">
        <v>4911</v>
      </c>
      <c r="R684" s="1" t="s">
        <v>4139</v>
      </c>
      <c r="S684" s="1" t="s">
        <v>4937</v>
      </c>
      <c r="T684" s="6">
        <v>44593</v>
      </c>
      <c r="U684" s="6">
        <v>44599</v>
      </c>
      <c r="V684" s="7">
        <v>0</v>
      </c>
      <c r="W684" s="6">
        <v>44602</v>
      </c>
      <c r="X684" s="7">
        <v>0</v>
      </c>
      <c r="Y684" s="1" t="s">
        <v>4860</v>
      </c>
      <c r="Z684" s="5">
        <v>340</v>
      </c>
      <c r="AA684" s="1" t="s">
        <v>3403</v>
      </c>
      <c r="AB684" s="1"/>
      <c r="AC684" s="1"/>
      <c r="AD684" s="1"/>
      <c r="AE684" s="1" t="s">
        <v>3727</v>
      </c>
      <c r="AF684" s="1" t="s">
        <v>9</v>
      </c>
      <c r="AG684" s="4">
        <v>1</v>
      </c>
      <c r="AH684" s="1"/>
      <c r="AI684" s="6">
        <v>44926</v>
      </c>
    </row>
    <row r="685" spans="1:35" x14ac:dyDescent="0.3">
      <c r="A685" s="1" t="s">
        <v>1358</v>
      </c>
      <c r="B685" s="2" t="str">
        <f>HYPERLINK("https://my.zakupki.prom.ua/remote/dispatcher/state_purchase_view/34685642")</f>
        <v>https://my.zakupki.prom.ua/remote/dispatcher/state_purchase_view/34685642</v>
      </c>
      <c r="C685" s="1" t="s">
        <v>3934</v>
      </c>
      <c r="D685" s="1" t="s">
        <v>480</v>
      </c>
      <c r="E685" s="1" t="s">
        <v>4903</v>
      </c>
      <c r="F685" s="1" t="s">
        <v>4903</v>
      </c>
      <c r="G685" s="1" t="s">
        <v>4903</v>
      </c>
      <c r="H685" s="1" t="s">
        <v>1013</v>
      </c>
      <c r="I685" s="1" t="s">
        <v>2504</v>
      </c>
      <c r="J685" s="5">
        <v>139976.49</v>
      </c>
      <c r="K685" s="1" t="s">
        <v>3394</v>
      </c>
      <c r="L685" s="5">
        <v>699.88</v>
      </c>
      <c r="M685" s="1" t="s">
        <v>2308</v>
      </c>
      <c r="N685" s="1" t="s">
        <v>3983</v>
      </c>
      <c r="O685" s="1" t="s">
        <v>2521</v>
      </c>
      <c r="P685" s="1" t="s">
        <v>3956</v>
      </c>
      <c r="Q685" s="1" t="s">
        <v>3264</v>
      </c>
      <c r="R685" s="1" t="s">
        <v>4625</v>
      </c>
      <c r="S685" s="1" t="s">
        <v>4937</v>
      </c>
      <c r="T685" s="6">
        <v>44593</v>
      </c>
      <c r="U685" s="6">
        <v>44597</v>
      </c>
      <c r="V685" s="7">
        <v>0</v>
      </c>
      <c r="W685" s="6">
        <v>44601</v>
      </c>
      <c r="X685" s="7">
        <v>0</v>
      </c>
      <c r="Y685" s="1" t="s">
        <v>4860</v>
      </c>
      <c r="Z685" s="5">
        <v>340</v>
      </c>
      <c r="AA685" s="1" t="s">
        <v>3403</v>
      </c>
      <c r="AB685" s="1"/>
      <c r="AC685" s="1"/>
      <c r="AD685" s="1"/>
      <c r="AE685" s="1" t="s">
        <v>3714</v>
      </c>
      <c r="AF685" s="1" t="s">
        <v>9</v>
      </c>
      <c r="AG685" s="1" t="s">
        <v>9</v>
      </c>
      <c r="AH685" s="1"/>
      <c r="AI685" s="6">
        <v>44926</v>
      </c>
    </row>
    <row r="686" spans="1:35" x14ac:dyDescent="0.3">
      <c r="A686" s="1" t="s">
        <v>1980</v>
      </c>
      <c r="B686" s="2" t="str">
        <f>HYPERLINK("https://my.zakupki.prom.ua/remote/dispatcher/state_purchase_view/34685643")</f>
        <v>https://my.zakupki.prom.ua/remote/dispatcher/state_purchase_view/34685643</v>
      </c>
      <c r="C686" s="1" t="s">
        <v>3324</v>
      </c>
      <c r="D686" s="1" t="s">
        <v>827</v>
      </c>
      <c r="E686" s="1" t="s">
        <v>4903</v>
      </c>
      <c r="F686" s="1" t="s">
        <v>4903</v>
      </c>
      <c r="G686" s="1" t="s">
        <v>4903</v>
      </c>
      <c r="H686" s="1" t="s">
        <v>239</v>
      </c>
      <c r="I686" s="1" t="s">
        <v>2984</v>
      </c>
      <c r="J686" s="5">
        <v>86231.64</v>
      </c>
      <c r="K686" s="1" t="s">
        <v>3394</v>
      </c>
      <c r="L686" s="5">
        <v>862.32</v>
      </c>
      <c r="M686" s="1" t="s">
        <v>2308</v>
      </c>
      <c r="N686" s="1" t="s">
        <v>3983</v>
      </c>
      <c r="O686" s="1" t="s">
        <v>2521</v>
      </c>
      <c r="P686" s="1" t="s">
        <v>3956</v>
      </c>
      <c r="Q686" s="1" t="s">
        <v>3325</v>
      </c>
      <c r="R686" s="1" t="s">
        <v>4226</v>
      </c>
      <c r="S686" s="1" t="s">
        <v>4937</v>
      </c>
      <c r="T686" s="6">
        <v>44593</v>
      </c>
      <c r="U686" s="6">
        <v>44599</v>
      </c>
      <c r="V686" s="7">
        <v>0.58333333333333337</v>
      </c>
      <c r="W686" s="6">
        <v>44602</v>
      </c>
      <c r="X686" s="7">
        <v>0.41666666666666669</v>
      </c>
      <c r="Y686" s="1" t="s">
        <v>4860</v>
      </c>
      <c r="Z686" s="5">
        <v>340</v>
      </c>
      <c r="AA686" s="1" t="s">
        <v>3403</v>
      </c>
      <c r="AB686" s="1"/>
      <c r="AC686" s="1"/>
      <c r="AD686" s="1"/>
      <c r="AE686" s="1" t="s">
        <v>3781</v>
      </c>
      <c r="AF686" s="1" t="s">
        <v>9</v>
      </c>
      <c r="AG686" s="1" t="s">
        <v>9</v>
      </c>
      <c r="AH686" s="1"/>
      <c r="AI686" s="6">
        <v>44926</v>
      </c>
    </row>
    <row r="687" spans="1:35" x14ac:dyDescent="0.3">
      <c r="A687" s="1" t="s">
        <v>1607</v>
      </c>
      <c r="B687" s="2" t="str">
        <f>HYPERLINK("https://my.zakupki.prom.ua/remote/dispatcher/state_purchase_view/34685634")</f>
        <v>https://my.zakupki.prom.ua/remote/dispatcher/state_purchase_view/34685634</v>
      </c>
      <c r="C687" s="1" t="s">
        <v>3323</v>
      </c>
      <c r="D687" s="1" t="s">
        <v>827</v>
      </c>
      <c r="E687" s="4">
        <v>1</v>
      </c>
      <c r="F687" s="5">
        <v>1907697</v>
      </c>
      <c r="G687" s="1" t="s">
        <v>4906</v>
      </c>
      <c r="H687" s="1" t="s">
        <v>353</v>
      </c>
      <c r="I687" s="1" t="s">
        <v>2586</v>
      </c>
      <c r="J687" s="5">
        <v>1907697</v>
      </c>
      <c r="K687" s="1" t="s">
        <v>3394</v>
      </c>
      <c r="L687" s="5">
        <v>9538.49</v>
      </c>
      <c r="M687" s="1" t="s">
        <v>2308</v>
      </c>
      <c r="N687" s="1" t="s">
        <v>3403</v>
      </c>
      <c r="O687" s="1" t="s">
        <v>2521</v>
      </c>
      <c r="P687" s="1" t="s">
        <v>2762</v>
      </c>
      <c r="Q687" s="1" t="s">
        <v>4794</v>
      </c>
      <c r="R687" s="1" t="s">
        <v>4081</v>
      </c>
      <c r="S687" s="1" t="s">
        <v>4937</v>
      </c>
      <c r="T687" s="6">
        <v>44593</v>
      </c>
      <c r="U687" s="6">
        <v>44597</v>
      </c>
      <c r="V687" s="7">
        <v>0.29166666666666669</v>
      </c>
      <c r="W687" s="6">
        <v>44601</v>
      </c>
      <c r="X687" s="7">
        <v>0.29166666666666669</v>
      </c>
      <c r="Y687" s="1" t="s">
        <v>4860</v>
      </c>
      <c r="Z687" s="5">
        <v>1700</v>
      </c>
      <c r="AA687" s="1" t="s">
        <v>3403</v>
      </c>
      <c r="AB687" s="1"/>
      <c r="AC687" s="1"/>
      <c r="AD687" s="1"/>
      <c r="AE687" s="1" t="s">
        <v>3794</v>
      </c>
      <c r="AF687" s="1" t="s">
        <v>9</v>
      </c>
      <c r="AG687" s="1" t="s">
        <v>9</v>
      </c>
      <c r="AH687" s="1"/>
      <c r="AI687" s="1"/>
    </row>
    <row r="688" spans="1:35" x14ac:dyDescent="0.3">
      <c r="A688" s="1" t="s">
        <v>1996</v>
      </c>
      <c r="B688" s="2" t="str">
        <f>HYPERLINK("https://my.zakupki.prom.ua/remote/dispatcher/state_purchase_view/34685628")</f>
        <v>https://my.zakupki.prom.ua/remote/dispatcher/state_purchase_view/34685628</v>
      </c>
      <c r="C688" s="1" t="s">
        <v>2553</v>
      </c>
      <c r="D688" s="1" t="s">
        <v>461</v>
      </c>
      <c r="E688" s="1" t="s">
        <v>4903</v>
      </c>
      <c r="F688" s="1" t="s">
        <v>4903</v>
      </c>
      <c r="G688" s="1" t="s">
        <v>4903</v>
      </c>
      <c r="H688" s="1" t="s">
        <v>1041</v>
      </c>
      <c r="I688" s="1" t="s">
        <v>2433</v>
      </c>
      <c r="J688" s="5">
        <v>199700</v>
      </c>
      <c r="K688" s="1" t="s">
        <v>3394</v>
      </c>
      <c r="L688" s="5">
        <v>998.5</v>
      </c>
      <c r="M688" s="1" t="s">
        <v>2308</v>
      </c>
      <c r="N688" s="1" t="s">
        <v>3983</v>
      </c>
      <c r="O688" s="1" t="s">
        <v>2521</v>
      </c>
      <c r="P688" s="1" t="s">
        <v>3956</v>
      </c>
      <c r="Q688" s="1" t="s">
        <v>2796</v>
      </c>
      <c r="R688" s="1" t="s">
        <v>4615</v>
      </c>
      <c r="S688" s="1" t="s">
        <v>4937</v>
      </c>
      <c r="T688" s="6">
        <v>44593</v>
      </c>
      <c r="U688" s="6">
        <v>44599</v>
      </c>
      <c r="V688" s="7">
        <v>0</v>
      </c>
      <c r="W688" s="6">
        <v>44602</v>
      </c>
      <c r="X688" s="7">
        <v>0.70833333333333337</v>
      </c>
      <c r="Y688" s="1" t="s">
        <v>4860</v>
      </c>
      <c r="Z688" s="5">
        <v>340</v>
      </c>
      <c r="AA688" s="1" t="s">
        <v>3403</v>
      </c>
      <c r="AB688" s="1"/>
      <c r="AC688" s="1"/>
      <c r="AD688" s="1"/>
      <c r="AE688" s="1" t="s">
        <v>3788</v>
      </c>
      <c r="AF688" s="1" t="s">
        <v>9</v>
      </c>
      <c r="AG688" s="4">
        <v>3</v>
      </c>
      <c r="AH688" s="1"/>
      <c r="AI688" s="6">
        <v>44926</v>
      </c>
    </row>
    <row r="689" spans="1:35" x14ac:dyDescent="0.3">
      <c r="A689" s="1" t="s">
        <v>1312</v>
      </c>
      <c r="B689" s="2" t="str">
        <f>HYPERLINK("https://my.zakupki.prom.ua/remote/dispatcher/state_purchase_view/34685631")</f>
        <v>https://my.zakupki.prom.ua/remote/dispatcher/state_purchase_view/34685631</v>
      </c>
      <c r="C689" s="1" t="s">
        <v>3339</v>
      </c>
      <c r="D689" s="1" t="s">
        <v>471</v>
      </c>
      <c r="E689" s="1" t="s">
        <v>4903</v>
      </c>
      <c r="F689" s="1" t="s">
        <v>4903</v>
      </c>
      <c r="G689" s="1" t="s">
        <v>4903</v>
      </c>
      <c r="H689" s="1" t="s">
        <v>1013</v>
      </c>
      <c r="I689" s="1" t="s">
        <v>2504</v>
      </c>
      <c r="J689" s="5">
        <v>174966</v>
      </c>
      <c r="K689" s="1" t="s">
        <v>3394</v>
      </c>
      <c r="L689" s="5">
        <v>874.83</v>
      </c>
      <c r="M689" s="1" t="s">
        <v>2308</v>
      </c>
      <c r="N689" s="1" t="s">
        <v>3983</v>
      </c>
      <c r="O689" s="1" t="s">
        <v>2521</v>
      </c>
      <c r="P689" s="1" t="s">
        <v>3956</v>
      </c>
      <c r="Q689" s="1" t="s">
        <v>3264</v>
      </c>
      <c r="R689" s="1" t="s">
        <v>4613</v>
      </c>
      <c r="S689" s="1" t="s">
        <v>4937</v>
      </c>
      <c r="T689" s="6">
        <v>44593</v>
      </c>
      <c r="U689" s="6">
        <v>44597</v>
      </c>
      <c r="V689" s="7">
        <v>0</v>
      </c>
      <c r="W689" s="6">
        <v>44601</v>
      </c>
      <c r="X689" s="7">
        <v>0</v>
      </c>
      <c r="Y689" s="1" t="s">
        <v>4860</v>
      </c>
      <c r="Z689" s="5">
        <v>340</v>
      </c>
      <c r="AA689" s="1" t="s">
        <v>3403</v>
      </c>
      <c r="AB689" s="1"/>
      <c r="AC689" s="1"/>
      <c r="AD689" s="1"/>
      <c r="AE689" s="1" t="s">
        <v>3714</v>
      </c>
      <c r="AF689" s="1" t="s">
        <v>9</v>
      </c>
      <c r="AG689" s="1" t="s">
        <v>9</v>
      </c>
      <c r="AH689" s="1"/>
      <c r="AI689" s="6">
        <v>44926</v>
      </c>
    </row>
    <row r="690" spans="1:35" x14ac:dyDescent="0.3">
      <c r="A690" s="1" t="s">
        <v>1371</v>
      </c>
      <c r="B690" s="2" t="str">
        <f>HYPERLINK("https://my.zakupki.prom.ua/remote/dispatcher/state_purchase_view/34685629")</f>
        <v>https://my.zakupki.prom.ua/remote/dispatcher/state_purchase_view/34685629</v>
      </c>
      <c r="C690" s="1" t="s">
        <v>3538</v>
      </c>
      <c r="D690" s="1" t="s">
        <v>1193</v>
      </c>
      <c r="E690" s="4">
        <v>2557</v>
      </c>
      <c r="F690" s="5">
        <v>30</v>
      </c>
      <c r="G690" s="1" t="s">
        <v>4938</v>
      </c>
      <c r="H690" s="1" t="s">
        <v>524</v>
      </c>
      <c r="I690" s="1" t="s">
        <v>2806</v>
      </c>
      <c r="J690" s="5">
        <v>76700</v>
      </c>
      <c r="K690" s="1" t="s">
        <v>3394</v>
      </c>
      <c r="L690" s="5">
        <v>383.5</v>
      </c>
      <c r="M690" s="1" t="s">
        <v>2308</v>
      </c>
      <c r="N690" s="1" t="s">
        <v>3403</v>
      </c>
      <c r="O690" s="1" t="s">
        <v>2521</v>
      </c>
      <c r="P690" s="1" t="s">
        <v>3956</v>
      </c>
      <c r="Q690" s="1" t="s">
        <v>3426</v>
      </c>
      <c r="R690" s="1" t="s">
        <v>4551</v>
      </c>
      <c r="S690" s="1" t="s">
        <v>4937</v>
      </c>
      <c r="T690" s="6">
        <v>44593</v>
      </c>
      <c r="U690" s="6">
        <v>44599</v>
      </c>
      <c r="V690" s="7">
        <v>0</v>
      </c>
      <c r="W690" s="6">
        <v>44602</v>
      </c>
      <c r="X690" s="7">
        <v>0</v>
      </c>
      <c r="Y690" s="1" t="s">
        <v>4860</v>
      </c>
      <c r="Z690" s="5">
        <v>340</v>
      </c>
      <c r="AA690" s="1" t="s">
        <v>3403</v>
      </c>
      <c r="AB690" s="1"/>
      <c r="AC690" s="1"/>
      <c r="AD690" s="1"/>
      <c r="AE690" s="1" t="s">
        <v>3756</v>
      </c>
      <c r="AF690" s="1" t="s">
        <v>9</v>
      </c>
      <c r="AG690" s="1" t="s">
        <v>9</v>
      </c>
      <c r="AH690" s="1"/>
      <c r="AI690" s="6">
        <v>44926</v>
      </c>
    </row>
    <row r="691" spans="1:35" x14ac:dyDescent="0.3">
      <c r="A691" s="1" t="s">
        <v>1604</v>
      </c>
      <c r="B691" s="2" t="str">
        <f>HYPERLINK("https://my.zakupki.prom.ua/remote/dispatcher/state_purchase_view/34685626")</f>
        <v>https://my.zakupki.prom.ua/remote/dispatcher/state_purchase_view/34685626</v>
      </c>
      <c r="C691" s="1" t="s">
        <v>176</v>
      </c>
      <c r="D691" s="1" t="s">
        <v>174</v>
      </c>
      <c r="E691" s="4">
        <v>6000</v>
      </c>
      <c r="F691" s="5">
        <v>3</v>
      </c>
      <c r="G691" s="1" t="s">
        <v>4991</v>
      </c>
      <c r="H691" s="1" t="s">
        <v>33</v>
      </c>
      <c r="I691" s="1" t="s">
        <v>3166</v>
      </c>
      <c r="J691" s="5">
        <v>18000</v>
      </c>
      <c r="K691" s="1" t="s">
        <v>3394</v>
      </c>
      <c r="L691" s="5">
        <v>90</v>
      </c>
      <c r="M691" s="1" t="s">
        <v>2308</v>
      </c>
      <c r="N691" s="1" t="s">
        <v>3983</v>
      </c>
      <c r="O691" s="1" t="s">
        <v>2521</v>
      </c>
      <c r="P691" s="1" t="s">
        <v>3956</v>
      </c>
      <c r="Q691" s="1" t="s">
        <v>3238</v>
      </c>
      <c r="R691" s="1" t="s">
        <v>4572</v>
      </c>
      <c r="S691" s="1" t="s">
        <v>4937</v>
      </c>
      <c r="T691" s="6">
        <v>44593</v>
      </c>
      <c r="U691" s="6">
        <v>44599</v>
      </c>
      <c r="V691" s="7">
        <v>0</v>
      </c>
      <c r="W691" s="6">
        <v>44602</v>
      </c>
      <c r="X691" s="7">
        <v>0</v>
      </c>
      <c r="Y691" s="1" t="s">
        <v>4860</v>
      </c>
      <c r="Z691" s="5">
        <v>17</v>
      </c>
      <c r="AA691" s="1" t="s">
        <v>3403</v>
      </c>
      <c r="AB691" s="1"/>
      <c r="AC691" s="1"/>
      <c r="AD691" s="1"/>
      <c r="AE691" s="1" t="s">
        <v>3765</v>
      </c>
      <c r="AF691" s="1" t="s">
        <v>9</v>
      </c>
      <c r="AG691" s="4">
        <v>8</v>
      </c>
      <c r="AH691" s="1"/>
      <c r="AI691" s="6">
        <v>44926</v>
      </c>
    </row>
    <row r="692" spans="1:35" x14ac:dyDescent="0.3">
      <c r="A692" s="1" t="s">
        <v>1971</v>
      </c>
      <c r="B692" s="2" t="str">
        <f>HYPERLINK("https://my.zakupki.prom.ua/remote/dispatcher/state_purchase_view/34685625")</f>
        <v>https://my.zakupki.prom.ua/remote/dispatcher/state_purchase_view/34685625</v>
      </c>
      <c r="C692" s="1" t="s">
        <v>3013</v>
      </c>
      <c r="D692" s="1" t="s">
        <v>1144</v>
      </c>
      <c r="E692" s="4">
        <v>1</v>
      </c>
      <c r="F692" s="5">
        <v>1009406.2</v>
      </c>
      <c r="G692" s="1" t="s">
        <v>4940</v>
      </c>
      <c r="H692" s="1" t="s">
        <v>642</v>
      </c>
      <c r="I692" s="1" t="s">
        <v>4726</v>
      </c>
      <c r="J692" s="5">
        <v>1009406.2</v>
      </c>
      <c r="K692" s="1" t="s">
        <v>3394</v>
      </c>
      <c r="L692" s="5">
        <v>5047.03</v>
      </c>
      <c r="M692" s="1" t="s">
        <v>2308</v>
      </c>
      <c r="N692" s="1" t="s">
        <v>3983</v>
      </c>
      <c r="O692" s="1" t="s">
        <v>2521</v>
      </c>
      <c r="P692" s="1" t="s">
        <v>3956</v>
      </c>
      <c r="Q692" s="1" t="s">
        <v>2528</v>
      </c>
      <c r="R692" s="1" t="s">
        <v>4552</v>
      </c>
      <c r="S692" s="1" t="s">
        <v>4937</v>
      </c>
      <c r="T692" s="6">
        <v>44593</v>
      </c>
      <c r="U692" s="6">
        <v>44599</v>
      </c>
      <c r="V692" s="7">
        <v>0.33333333333333331</v>
      </c>
      <c r="W692" s="6">
        <v>44603</v>
      </c>
      <c r="X692" s="7">
        <v>0.33333333333333331</v>
      </c>
      <c r="Y692" s="1" t="s">
        <v>4860</v>
      </c>
      <c r="Z692" s="5">
        <v>1700</v>
      </c>
      <c r="AA692" s="1" t="s">
        <v>3403</v>
      </c>
      <c r="AB692" s="1"/>
      <c r="AC692" s="1"/>
      <c r="AD692" s="1"/>
      <c r="AE692" s="1" t="s">
        <v>3701</v>
      </c>
      <c r="AF692" s="1" t="s">
        <v>9</v>
      </c>
      <c r="AG692" s="4">
        <v>12</v>
      </c>
      <c r="AH692" s="1"/>
      <c r="AI692" s="6">
        <v>44713</v>
      </c>
    </row>
    <row r="693" spans="1:35" x14ac:dyDescent="0.3">
      <c r="A693" s="1" t="s">
        <v>1367</v>
      </c>
      <c r="B693" s="2" t="str">
        <f>HYPERLINK("https://my.zakupki.prom.ua/remote/dispatcher/state_purchase_view/34685611")</f>
        <v>https://my.zakupki.prom.ua/remote/dispatcher/state_purchase_view/34685611</v>
      </c>
      <c r="C693" s="1" t="s">
        <v>3062</v>
      </c>
      <c r="D693" s="1" t="s">
        <v>212</v>
      </c>
      <c r="E693" s="1" t="s">
        <v>4903</v>
      </c>
      <c r="F693" s="1" t="s">
        <v>4903</v>
      </c>
      <c r="G693" s="1" t="s">
        <v>4903</v>
      </c>
      <c r="H693" s="1" t="s">
        <v>995</v>
      </c>
      <c r="I693" s="1" t="s">
        <v>2512</v>
      </c>
      <c r="J693" s="5">
        <v>167000</v>
      </c>
      <c r="K693" s="1" t="s">
        <v>3394</v>
      </c>
      <c r="L693" s="5">
        <v>900</v>
      </c>
      <c r="M693" s="1" t="s">
        <v>2308</v>
      </c>
      <c r="N693" s="1" t="s">
        <v>3983</v>
      </c>
      <c r="O693" s="1" t="s">
        <v>2521</v>
      </c>
      <c r="P693" s="1" t="s">
        <v>3956</v>
      </c>
      <c r="Q693" s="1" t="s">
        <v>3264</v>
      </c>
      <c r="R693" s="1" t="s">
        <v>4092</v>
      </c>
      <c r="S693" s="1" t="s">
        <v>4937</v>
      </c>
      <c r="T693" s="6">
        <v>44593</v>
      </c>
      <c r="U693" s="6">
        <v>44599</v>
      </c>
      <c r="V693" s="7">
        <v>0.45833333333333331</v>
      </c>
      <c r="W693" s="6">
        <v>44602</v>
      </c>
      <c r="X693" s="7">
        <v>0.45833333333333331</v>
      </c>
      <c r="Y693" s="1" t="s">
        <v>4860</v>
      </c>
      <c r="Z693" s="5">
        <v>340</v>
      </c>
      <c r="AA693" s="1" t="s">
        <v>3403</v>
      </c>
      <c r="AB693" s="1"/>
      <c r="AC693" s="1"/>
      <c r="AD693" s="1"/>
      <c r="AE693" s="1" t="s">
        <v>3776</v>
      </c>
      <c r="AF693" s="1" t="s">
        <v>9</v>
      </c>
      <c r="AG693" s="4">
        <v>7</v>
      </c>
      <c r="AH693" s="1"/>
      <c r="AI693" s="6">
        <v>44926</v>
      </c>
    </row>
    <row r="694" spans="1:35" x14ac:dyDescent="0.3">
      <c r="A694" s="1" t="s">
        <v>1376</v>
      </c>
      <c r="B694" s="2" t="str">
        <f>HYPERLINK("https://my.zakupki.prom.ua/remote/dispatcher/state_purchase_view/34685613")</f>
        <v>https://my.zakupki.prom.ua/remote/dispatcher/state_purchase_view/34685613</v>
      </c>
      <c r="C694" s="1" t="s">
        <v>2377</v>
      </c>
      <c r="D694" s="1" t="s">
        <v>516</v>
      </c>
      <c r="E694" s="1" t="s">
        <v>4903</v>
      </c>
      <c r="F694" s="1" t="s">
        <v>4903</v>
      </c>
      <c r="G694" s="1" t="s">
        <v>4903</v>
      </c>
      <c r="H694" s="1" t="s">
        <v>262</v>
      </c>
      <c r="I694" s="1" t="s">
        <v>2950</v>
      </c>
      <c r="J694" s="5">
        <v>180282</v>
      </c>
      <c r="K694" s="1" t="s">
        <v>3394</v>
      </c>
      <c r="L694" s="5">
        <v>901.41</v>
      </c>
      <c r="M694" s="1" t="s">
        <v>2308</v>
      </c>
      <c r="N694" s="1" t="s">
        <v>3983</v>
      </c>
      <c r="O694" s="1" t="s">
        <v>2521</v>
      </c>
      <c r="P694" s="1" t="s">
        <v>3956</v>
      </c>
      <c r="Q694" s="1" t="s">
        <v>3035</v>
      </c>
      <c r="R694" s="1" t="s">
        <v>4093</v>
      </c>
      <c r="S694" s="1" t="s">
        <v>4937</v>
      </c>
      <c r="T694" s="6">
        <v>44593</v>
      </c>
      <c r="U694" s="6">
        <v>44597</v>
      </c>
      <c r="V694" s="7">
        <v>0</v>
      </c>
      <c r="W694" s="6">
        <v>44602</v>
      </c>
      <c r="X694" s="7">
        <v>0</v>
      </c>
      <c r="Y694" s="1" t="s">
        <v>4860</v>
      </c>
      <c r="Z694" s="5">
        <v>340</v>
      </c>
      <c r="AA694" s="1" t="s">
        <v>3403</v>
      </c>
      <c r="AB694" s="1"/>
      <c r="AC694" s="1"/>
      <c r="AD694" s="1"/>
      <c r="AE694" s="1" t="s">
        <v>3775</v>
      </c>
      <c r="AF694" s="1" t="s">
        <v>9</v>
      </c>
      <c r="AG694" s="4">
        <v>14</v>
      </c>
      <c r="AH694" s="1"/>
      <c r="AI694" s="6">
        <v>44926</v>
      </c>
    </row>
    <row r="695" spans="1:35" x14ac:dyDescent="0.3">
      <c r="A695" s="1" t="s">
        <v>1375</v>
      </c>
      <c r="B695" s="2" t="str">
        <f>HYPERLINK("https://my.zakupki.prom.ua/remote/dispatcher/state_purchase_view/34685610")</f>
        <v>https://my.zakupki.prom.ua/remote/dispatcher/state_purchase_view/34685610</v>
      </c>
      <c r="C695" s="1" t="s">
        <v>3226</v>
      </c>
      <c r="D695" s="1" t="s">
        <v>485</v>
      </c>
      <c r="E695" s="1" t="s">
        <v>4903</v>
      </c>
      <c r="F695" s="1" t="s">
        <v>4903</v>
      </c>
      <c r="G695" s="1" t="s">
        <v>4903</v>
      </c>
      <c r="H695" s="1" t="s">
        <v>424</v>
      </c>
      <c r="I695" s="1" t="s">
        <v>3388</v>
      </c>
      <c r="J695" s="5">
        <v>409800</v>
      </c>
      <c r="K695" s="1" t="s">
        <v>3394</v>
      </c>
      <c r="L695" s="5">
        <v>4098</v>
      </c>
      <c r="M695" s="1" t="s">
        <v>2308</v>
      </c>
      <c r="N695" s="1" t="s">
        <v>3983</v>
      </c>
      <c r="O695" s="1" t="s">
        <v>398</v>
      </c>
      <c r="P695" s="1" t="s">
        <v>2515</v>
      </c>
      <c r="Q695" s="1" t="s">
        <v>4805</v>
      </c>
      <c r="R695" s="1" t="s">
        <v>4206</v>
      </c>
      <c r="S695" s="1" t="s">
        <v>4971</v>
      </c>
      <c r="T695" s="6">
        <v>44593</v>
      </c>
      <c r="U695" s="6">
        <v>44593</v>
      </c>
      <c r="V695" s="7">
        <v>0.5070486111111111</v>
      </c>
      <c r="W695" s="6">
        <v>44609</v>
      </c>
      <c r="X695" s="7">
        <v>0.54166666666666663</v>
      </c>
      <c r="Y695" s="8">
        <v>44610.460636574076</v>
      </c>
      <c r="Z695" s="5">
        <v>510</v>
      </c>
      <c r="AA695" s="1" t="s">
        <v>3403</v>
      </c>
      <c r="AB695" s="1"/>
      <c r="AC695" s="1"/>
      <c r="AD695" s="1"/>
      <c r="AE695" s="1" t="s">
        <v>3788</v>
      </c>
      <c r="AF695" s="1" t="s">
        <v>9</v>
      </c>
      <c r="AG695" s="4">
        <v>61</v>
      </c>
      <c r="AH695" s="1"/>
      <c r="AI695" s="6">
        <v>44891</v>
      </c>
    </row>
    <row r="696" spans="1:35" x14ac:dyDescent="0.3">
      <c r="A696" s="1" t="s">
        <v>1993</v>
      </c>
      <c r="B696" s="2" t="str">
        <f>HYPERLINK("https://my.zakupki.prom.ua/remote/dispatcher/state_purchase_view/34685311")</f>
        <v>https://my.zakupki.prom.ua/remote/dispatcher/state_purchase_view/34685311</v>
      </c>
      <c r="C696" s="1" t="s">
        <v>3531</v>
      </c>
      <c r="D696" s="1" t="s">
        <v>1155</v>
      </c>
      <c r="E696" s="4">
        <v>80</v>
      </c>
      <c r="F696" s="5">
        <v>250</v>
      </c>
      <c r="G696" s="1" t="s">
        <v>4940</v>
      </c>
      <c r="H696" s="1" t="s">
        <v>855</v>
      </c>
      <c r="I696" s="1" t="s">
        <v>3288</v>
      </c>
      <c r="J696" s="5">
        <v>20000</v>
      </c>
      <c r="K696" s="1" t="s">
        <v>3394</v>
      </c>
      <c r="L696" s="5">
        <v>500</v>
      </c>
      <c r="M696" s="1" t="s">
        <v>2308</v>
      </c>
      <c r="N696" s="1" t="s">
        <v>3983</v>
      </c>
      <c r="O696" s="1" t="s">
        <v>2521</v>
      </c>
      <c r="P696" s="1" t="s">
        <v>3956</v>
      </c>
      <c r="Q696" s="1" t="s">
        <v>3325</v>
      </c>
      <c r="R696" s="1" t="s">
        <v>4282</v>
      </c>
      <c r="S696" s="1" t="s">
        <v>4937</v>
      </c>
      <c r="T696" s="6">
        <v>44593</v>
      </c>
      <c r="U696" s="6">
        <v>44600</v>
      </c>
      <c r="V696" s="7">
        <v>0.375</v>
      </c>
      <c r="W696" s="6">
        <v>44603</v>
      </c>
      <c r="X696" s="7">
        <v>0.375</v>
      </c>
      <c r="Y696" s="1" t="s">
        <v>4860</v>
      </c>
      <c r="Z696" s="5">
        <v>17</v>
      </c>
      <c r="AA696" s="1" t="s">
        <v>3403</v>
      </c>
      <c r="AB696" s="1"/>
      <c r="AC696" s="1"/>
      <c r="AD696" s="1"/>
      <c r="AE696" s="1" t="s">
        <v>3749</v>
      </c>
      <c r="AF696" s="1" t="s">
        <v>9</v>
      </c>
      <c r="AG696" s="1" t="s">
        <v>9</v>
      </c>
      <c r="AH696" s="1"/>
      <c r="AI696" s="6">
        <v>44926</v>
      </c>
    </row>
    <row r="697" spans="1:35" x14ac:dyDescent="0.3">
      <c r="A697" s="1" t="s">
        <v>1992</v>
      </c>
      <c r="B697" s="2" t="str">
        <f>HYPERLINK("https://my.zakupki.prom.ua/remote/dispatcher/state_purchase_view/34685309")</f>
        <v>https://my.zakupki.prom.ua/remote/dispatcher/state_purchase_view/34685309</v>
      </c>
      <c r="C697" s="1" t="s">
        <v>2668</v>
      </c>
      <c r="D697" s="1" t="s">
        <v>387</v>
      </c>
      <c r="E697" s="4">
        <v>20000</v>
      </c>
      <c r="F697" s="5">
        <v>4.25</v>
      </c>
      <c r="G697" s="1" t="s">
        <v>3235</v>
      </c>
      <c r="H697" s="1" t="s">
        <v>842</v>
      </c>
      <c r="I697" s="1" t="s">
        <v>3459</v>
      </c>
      <c r="J697" s="5">
        <v>85014</v>
      </c>
      <c r="K697" s="1" t="s">
        <v>3394</v>
      </c>
      <c r="L697" s="5">
        <v>425.07</v>
      </c>
      <c r="M697" s="1" t="s">
        <v>2308</v>
      </c>
      <c r="N697" s="1" t="s">
        <v>3983</v>
      </c>
      <c r="O697" s="1" t="s">
        <v>2521</v>
      </c>
      <c r="P697" s="1" t="s">
        <v>3956</v>
      </c>
      <c r="Q697" s="1" t="s">
        <v>3504</v>
      </c>
      <c r="R697" s="1" t="s">
        <v>4059</v>
      </c>
      <c r="S697" s="1" t="s">
        <v>4937</v>
      </c>
      <c r="T697" s="6">
        <v>44593</v>
      </c>
      <c r="U697" s="6">
        <v>44599</v>
      </c>
      <c r="V697" s="7">
        <v>0.375</v>
      </c>
      <c r="W697" s="6">
        <v>44602</v>
      </c>
      <c r="X697" s="7">
        <v>0.375</v>
      </c>
      <c r="Y697" s="1" t="s">
        <v>4860</v>
      </c>
      <c r="Z697" s="5">
        <v>340</v>
      </c>
      <c r="AA697" s="1" t="s">
        <v>3403</v>
      </c>
      <c r="AB697" s="1"/>
      <c r="AC697" s="1"/>
      <c r="AD697" s="1"/>
      <c r="AE697" s="1" t="s">
        <v>3803</v>
      </c>
      <c r="AF697" s="1" t="s">
        <v>9</v>
      </c>
      <c r="AG697" s="1" t="s">
        <v>9</v>
      </c>
      <c r="AH697" s="1"/>
      <c r="AI697" s="6">
        <v>44926</v>
      </c>
    </row>
    <row r="698" spans="1:35" x14ac:dyDescent="0.3">
      <c r="A698" s="1" t="s">
        <v>1990</v>
      </c>
      <c r="B698" s="2" t="str">
        <f>HYPERLINK("https://my.zakupki.prom.ua/remote/dispatcher/state_purchase_view/34685259")</f>
        <v>https://my.zakupki.prom.ua/remote/dispatcher/state_purchase_view/34685259</v>
      </c>
      <c r="C698" s="1" t="s">
        <v>3666</v>
      </c>
      <c r="D698" s="1" t="s">
        <v>1289</v>
      </c>
      <c r="E698" s="1" t="s">
        <v>4903</v>
      </c>
      <c r="F698" s="1" t="s">
        <v>4903</v>
      </c>
      <c r="G698" s="1" t="s">
        <v>4903</v>
      </c>
      <c r="H698" s="1" t="s">
        <v>231</v>
      </c>
      <c r="I698" s="1" t="s">
        <v>3179</v>
      </c>
      <c r="J698" s="5">
        <v>169000</v>
      </c>
      <c r="K698" s="1" t="s">
        <v>3394</v>
      </c>
      <c r="L698" s="5">
        <v>845</v>
      </c>
      <c r="M698" s="1" t="s">
        <v>2308</v>
      </c>
      <c r="N698" s="1" t="s">
        <v>3983</v>
      </c>
      <c r="O698" s="1" t="s">
        <v>2521</v>
      </c>
      <c r="P698" s="1" t="s">
        <v>3956</v>
      </c>
      <c r="Q698" s="1" t="s">
        <v>2820</v>
      </c>
      <c r="R698" s="1" t="s">
        <v>4081</v>
      </c>
      <c r="S698" s="1" t="s">
        <v>4937</v>
      </c>
      <c r="T698" s="6">
        <v>44593</v>
      </c>
      <c r="U698" s="6">
        <v>44599</v>
      </c>
      <c r="V698" s="7">
        <v>0.66666666666666663</v>
      </c>
      <c r="W698" s="6">
        <v>44602</v>
      </c>
      <c r="X698" s="7">
        <v>0.375</v>
      </c>
      <c r="Y698" s="1" t="s">
        <v>4860</v>
      </c>
      <c r="Z698" s="5">
        <v>340</v>
      </c>
      <c r="AA698" s="1" t="s">
        <v>3403</v>
      </c>
      <c r="AB698" s="1"/>
      <c r="AC698" s="1"/>
      <c r="AD698" s="1"/>
      <c r="AE698" s="1" t="s">
        <v>2355</v>
      </c>
      <c r="AF698" s="1" t="s">
        <v>9</v>
      </c>
      <c r="AG698" s="4">
        <v>6</v>
      </c>
      <c r="AH698" s="1"/>
      <c r="AI698" s="6">
        <v>44926</v>
      </c>
    </row>
    <row r="699" spans="1:35" x14ac:dyDescent="0.3">
      <c r="A699" s="1" t="s">
        <v>1989</v>
      </c>
      <c r="B699" s="2" t="str">
        <f>HYPERLINK("https://my.zakupki.prom.ua/remote/dispatcher/state_purchase_view/34685251")</f>
        <v>https://my.zakupki.prom.ua/remote/dispatcher/state_purchase_view/34685251</v>
      </c>
      <c r="C699" s="1" t="s">
        <v>3337</v>
      </c>
      <c r="D699" s="1" t="s">
        <v>471</v>
      </c>
      <c r="E699" s="4">
        <v>2600</v>
      </c>
      <c r="F699" s="5">
        <v>30.38</v>
      </c>
      <c r="G699" s="1" t="s">
        <v>4901</v>
      </c>
      <c r="H699" s="1" t="s">
        <v>1057</v>
      </c>
      <c r="I699" s="1" t="s">
        <v>2439</v>
      </c>
      <c r="J699" s="5">
        <v>79000</v>
      </c>
      <c r="K699" s="1" t="s">
        <v>3394</v>
      </c>
      <c r="L699" s="5">
        <v>395</v>
      </c>
      <c r="M699" s="1" t="s">
        <v>2308</v>
      </c>
      <c r="N699" s="1" t="s">
        <v>3983</v>
      </c>
      <c r="O699" s="1" t="s">
        <v>2521</v>
      </c>
      <c r="P699" s="1" t="s">
        <v>3956</v>
      </c>
      <c r="Q699" s="1" t="s">
        <v>4834</v>
      </c>
      <c r="R699" s="1" t="s">
        <v>4337</v>
      </c>
      <c r="S699" s="1" t="s">
        <v>4937</v>
      </c>
      <c r="T699" s="6">
        <v>44593</v>
      </c>
      <c r="U699" s="6">
        <v>44599</v>
      </c>
      <c r="V699" s="7">
        <v>0.25</v>
      </c>
      <c r="W699" s="6">
        <v>44602</v>
      </c>
      <c r="X699" s="7">
        <v>0</v>
      </c>
      <c r="Y699" s="1" t="s">
        <v>4860</v>
      </c>
      <c r="Z699" s="5">
        <v>340</v>
      </c>
      <c r="AA699" s="1" t="s">
        <v>3403</v>
      </c>
      <c r="AB699" s="1"/>
      <c r="AC699" s="1"/>
      <c r="AD699" s="1"/>
      <c r="AE699" s="1" t="s">
        <v>3771</v>
      </c>
      <c r="AF699" s="1" t="s">
        <v>9</v>
      </c>
      <c r="AG699" s="1" t="s">
        <v>9</v>
      </c>
      <c r="AH699" s="1"/>
      <c r="AI699" s="6">
        <v>44926</v>
      </c>
    </row>
    <row r="700" spans="1:35" x14ac:dyDescent="0.3">
      <c r="A700" s="1" t="s">
        <v>1373</v>
      </c>
      <c r="B700" s="2" t="str">
        <f>HYPERLINK("https://my.zakupki.prom.ua/remote/dispatcher/state_purchase_view/34685236")</f>
        <v>https://my.zakupki.prom.ua/remote/dispatcher/state_purchase_view/34685236</v>
      </c>
      <c r="C700" s="1" t="s">
        <v>3311</v>
      </c>
      <c r="D700" s="1" t="s">
        <v>780</v>
      </c>
      <c r="E700" s="1" t="s">
        <v>4903</v>
      </c>
      <c r="F700" s="1" t="s">
        <v>4903</v>
      </c>
      <c r="G700" s="1" t="s">
        <v>4903</v>
      </c>
      <c r="H700" s="1" t="s">
        <v>1021</v>
      </c>
      <c r="I700" s="1" t="s">
        <v>2873</v>
      </c>
      <c r="J700" s="5">
        <v>105600</v>
      </c>
      <c r="K700" s="1" t="s">
        <v>3394</v>
      </c>
      <c r="L700" s="5">
        <v>528</v>
      </c>
      <c r="M700" s="1" t="s">
        <v>2308</v>
      </c>
      <c r="N700" s="1" t="s">
        <v>3983</v>
      </c>
      <c r="O700" s="1" t="s">
        <v>2521</v>
      </c>
      <c r="P700" s="1" t="s">
        <v>3956</v>
      </c>
      <c r="Q700" s="1" t="s">
        <v>2334</v>
      </c>
      <c r="R700" s="1" t="s">
        <v>4181</v>
      </c>
      <c r="S700" s="1" t="s">
        <v>4937</v>
      </c>
      <c r="T700" s="6">
        <v>44593</v>
      </c>
      <c r="U700" s="6">
        <v>44599</v>
      </c>
      <c r="V700" s="7">
        <v>0.375</v>
      </c>
      <c r="W700" s="6">
        <v>44606</v>
      </c>
      <c r="X700" s="7">
        <v>0.375</v>
      </c>
      <c r="Y700" s="1" t="s">
        <v>4860</v>
      </c>
      <c r="Z700" s="5">
        <v>340</v>
      </c>
      <c r="AA700" s="1" t="s">
        <v>3403</v>
      </c>
      <c r="AB700" s="1"/>
      <c r="AC700" s="1"/>
      <c r="AD700" s="1"/>
      <c r="AE700" s="1" t="s">
        <v>3776</v>
      </c>
      <c r="AF700" s="1" t="s">
        <v>9</v>
      </c>
      <c r="AG700" s="1" t="s">
        <v>9</v>
      </c>
      <c r="AH700" s="6">
        <v>44607</v>
      </c>
      <c r="AI700" s="6">
        <v>44926</v>
      </c>
    </row>
    <row r="701" spans="1:35" x14ac:dyDescent="0.3">
      <c r="A701" s="1" t="s">
        <v>1370</v>
      </c>
      <c r="B701" s="2" t="str">
        <f>HYPERLINK("https://my.zakupki.prom.ua/remote/dispatcher/state_purchase_lot_view/740670")</f>
        <v>https://my.zakupki.prom.ua/remote/dispatcher/state_purchase_lot_view/740670</v>
      </c>
      <c r="C701" s="1" t="s">
        <v>2654</v>
      </c>
      <c r="D701" s="1" t="s">
        <v>839</v>
      </c>
      <c r="E701" s="4">
        <v>1970</v>
      </c>
      <c r="F701" s="5">
        <v>663.36</v>
      </c>
      <c r="G701" s="1" t="s">
        <v>4989</v>
      </c>
      <c r="H701" s="1" t="s">
        <v>977</v>
      </c>
      <c r="I701" s="1" t="s">
        <v>2759</v>
      </c>
      <c r="J701" s="5">
        <v>2457878.4</v>
      </c>
      <c r="K701" s="5">
        <v>1306819.2</v>
      </c>
      <c r="L701" s="5">
        <v>6534.1</v>
      </c>
      <c r="M701" s="1" t="s">
        <v>2308</v>
      </c>
      <c r="N701" s="1" t="s">
        <v>3983</v>
      </c>
      <c r="O701" s="1" t="s">
        <v>955</v>
      </c>
      <c r="P701" s="1" t="s">
        <v>2516</v>
      </c>
      <c r="Q701" s="1" t="s">
        <v>2761</v>
      </c>
      <c r="R701" s="1" t="s">
        <v>4081</v>
      </c>
      <c r="S701" s="1" t="s">
        <v>4971</v>
      </c>
      <c r="T701" s="6">
        <v>44593</v>
      </c>
      <c r="U701" s="6">
        <v>44593</v>
      </c>
      <c r="V701" s="7">
        <v>0.50253472222222217</v>
      </c>
      <c r="W701" s="6">
        <v>44624</v>
      </c>
      <c r="X701" s="7">
        <v>0.45833333333333331</v>
      </c>
      <c r="Y701" s="8">
        <v>44662.659918981481</v>
      </c>
      <c r="Z701" s="5">
        <v>1700</v>
      </c>
      <c r="AA701" s="1" t="s">
        <v>3403</v>
      </c>
      <c r="AB701" s="1"/>
      <c r="AC701" s="1"/>
      <c r="AD701" s="1"/>
      <c r="AE701" s="1" t="s">
        <v>3765</v>
      </c>
      <c r="AF701" s="1" t="s">
        <v>9</v>
      </c>
      <c r="AG701" s="4">
        <v>346</v>
      </c>
      <c r="AH701" s="1"/>
      <c r="AI701" s="6">
        <v>44926</v>
      </c>
    </row>
    <row r="702" spans="1:35" x14ac:dyDescent="0.3">
      <c r="A702" s="1" t="s">
        <v>1370</v>
      </c>
      <c r="B702" s="2" t="str">
        <f>HYPERLINK("https://my.zakupki.prom.ua/remote/dispatcher/state_purchase_lot_view/740671")</f>
        <v>https://my.zakupki.prom.ua/remote/dispatcher/state_purchase_lot_view/740671</v>
      </c>
      <c r="C702" s="1" t="s">
        <v>2655</v>
      </c>
      <c r="D702" s="1" t="s">
        <v>839</v>
      </c>
      <c r="E702" s="4">
        <v>160</v>
      </c>
      <c r="F702" s="5">
        <v>474.12</v>
      </c>
      <c r="G702" s="1" t="s">
        <v>4989</v>
      </c>
      <c r="H702" s="1" t="s">
        <v>977</v>
      </c>
      <c r="I702" s="1" t="s">
        <v>2759</v>
      </c>
      <c r="J702" s="5">
        <v>2457878.4</v>
      </c>
      <c r="K702" s="5">
        <v>75859.199999999997</v>
      </c>
      <c r="L702" s="5">
        <v>379.3</v>
      </c>
      <c r="M702" s="1" t="s">
        <v>2308</v>
      </c>
      <c r="N702" s="1" t="s">
        <v>3983</v>
      </c>
      <c r="O702" s="1" t="s">
        <v>588</v>
      </c>
      <c r="P702" s="1" t="s">
        <v>2516</v>
      </c>
      <c r="Q702" s="1" t="s">
        <v>2761</v>
      </c>
      <c r="R702" s="1" t="s">
        <v>4081</v>
      </c>
      <c r="S702" s="1" t="s">
        <v>4971</v>
      </c>
      <c r="T702" s="6">
        <v>44593</v>
      </c>
      <c r="U702" s="6">
        <v>44593</v>
      </c>
      <c r="V702" s="7">
        <v>0.50253472222222217</v>
      </c>
      <c r="W702" s="6">
        <v>44624</v>
      </c>
      <c r="X702" s="7">
        <v>0.45833333333333331</v>
      </c>
      <c r="Y702" s="8">
        <v>44662.47351851852</v>
      </c>
      <c r="Z702" s="5">
        <v>340</v>
      </c>
      <c r="AA702" s="1" t="s">
        <v>3403</v>
      </c>
      <c r="AB702" s="1"/>
      <c r="AC702" s="1"/>
      <c r="AD702" s="1"/>
      <c r="AE702" s="1" t="s">
        <v>3765</v>
      </c>
      <c r="AF702" s="1" t="s">
        <v>9</v>
      </c>
      <c r="AG702" s="4">
        <v>346</v>
      </c>
      <c r="AH702" s="1"/>
      <c r="AI702" s="6">
        <v>44926</v>
      </c>
    </row>
    <row r="703" spans="1:35" x14ac:dyDescent="0.3">
      <c r="A703" s="1" t="s">
        <v>1370</v>
      </c>
      <c r="B703" s="2" t="str">
        <f>HYPERLINK("https://my.zakupki.prom.ua/remote/dispatcher/state_purchase_lot_view/740672")</f>
        <v>https://my.zakupki.prom.ua/remote/dispatcher/state_purchase_lot_view/740672</v>
      </c>
      <c r="C703" s="1" t="s">
        <v>2656</v>
      </c>
      <c r="D703" s="1" t="s">
        <v>839</v>
      </c>
      <c r="E703" s="4">
        <v>2000</v>
      </c>
      <c r="F703" s="5">
        <v>537.6</v>
      </c>
      <c r="G703" s="1" t="s">
        <v>4989</v>
      </c>
      <c r="H703" s="1" t="s">
        <v>977</v>
      </c>
      <c r="I703" s="1" t="s">
        <v>2759</v>
      </c>
      <c r="J703" s="5">
        <v>2457878.4</v>
      </c>
      <c r="K703" s="5">
        <v>1075200</v>
      </c>
      <c r="L703" s="5">
        <v>5376</v>
      </c>
      <c r="M703" s="1" t="s">
        <v>2308</v>
      </c>
      <c r="N703" s="1" t="s">
        <v>3983</v>
      </c>
      <c r="O703" s="1" t="s">
        <v>750</v>
      </c>
      <c r="P703" s="1" t="s">
        <v>2516</v>
      </c>
      <c r="Q703" s="1" t="s">
        <v>2761</v>
      </c>
      <c r="R703" s="1" t="s">
        <v>4081</v>
      </c>
      <c r="S703" s="1" t="s">
        <v>4971</v>
      </c>
      <c r="T703" s="6">
        <v>44593</v>
      </c>
      <c r="U703" s="6">
        <v>44593</v>
      </c>
      <c r="V703" s="7">
        <v>0.50253472222222217</v>
      </c>
      <c r="W703" s="6">
        <v>44624</v>
      </c>
      <c r="X703" s="7">
        <v>0.45833333333333331</v>
      </c>
      <c r="Y703" s="8">
        <v>44662.48878472222</v>
      </c>
      <c r="Z703" s="5">
        <v>1700</v>
      </c>
      <c r="AA703" s="1" t="s">
        <v>3403</v>
      </c>
      <c r="AB703" s="1"/>
      <c r="AC703" s="1"/>
      <c r="AD703" s="1"/>
      <c r="AE703" s="1" t="s">
        <v>3765</v>
      </c>
      <c r="AF703" s="1" t="s">
        <v>9</v>
      </c>
      <c r="AG703" s="4">
        <v>346</v>
      </c>
      <c r="AH703" s="1"/>
      <c r="AI703" s="6">
        <v>44926</v>
      </c>
    </row>
    <row r="704" spans="1:35" x14ac:dyDescent="0.3">
      <c r="A704" s="1" t="s">
        <v>1597</v>
      </c>
      <c r="B704" s="2" t="str">
        <f>HYPERLINK("https://my.zakupki.prom.ua/remote/dispatcher/state_purchase_view/34685228")</f>
        <v>https://my.zakupki.prom.ua/remote/dispatcher/state_purchase_view/34685228</v>
      </c>
      <c r="C704" s="1" t="s">
        <v>4011</v>
      </c>
      <c r="D704" s="1" t="s">
        <v>507</v>
      </c>
      <c r="E704" s="4">
        <v>4113</v>
      </c>
      <c r="F704" s="5">
        <v>31.61</v>
      </c>
      <c r="G704" s="1" t="s">
        <v>4902</v>
      </c>
      <c r="H704" s="1" t="s">
        <v>894</v>
      </c>
      <c r="I704" s="1" t="s">
        <v>4745</v>
      </c>
      <c r="J704" s="5">
        <v>130000</v>
      </c>
      <c r="K704" s="1" t="s">
        <v>3394</v>
      </c>
      <c r="L704" s="5">
        <v>650</v>
      </c>
      <c r="M704" s="1" t="s">
        <v>2308</v>
      </c>
      <c r="N704" s="1" t="s">
        <v>3983</v>
      </c>
      <c r="O704" s="1" t="s">
        <v>2521</v>
      </c>
      <c r="P704" s="1" t="s">
        <v>3956</v>
      </c>
      <c r="Q704" s="1" t="s">
        <v>3035</v>
      </c>
      <c r="R704" s="1" t="s">
        <v>4081</v>
      </c>
      <c r="S704" s="1" t="s">
        <v>4937</v>
      </c>
      <c r="T704" s="6">
        <v>44593</v>
      </c>
      <c r="U704" s="6">
        <v>44599</v>
      </c>
      <c r="V704" s="7">
        <v>0</v>
      </c>
      <c r="W704" s="6">
        <v>44602</v>
      </c>
      <c r="X704" s="7">
        <v>0</v>
      </c>
      <c r="Y704" s="1" t="s">
        <v>4860</v>
      </c>
      <c r="Z704" s="5">
        <v>340</v>
      </c>
      <c r="AA704" s="1" t="s">
        <v>3403</v>
      </c>
      <c r="AB704" s="1"/>
      <c r="AC704" s="1"/>
      <c r="AD704" s="1"/>
      <c r="AE704" s="1" t="s">
        <v>3771</v>
      </c>
      <c r="AF704" s="1" t="s">
        <v>9</v>
      </c>
      <c r="AG704" s="4">
        <v>165</v>
      </c>
      <c r="AH704" s="6">
        <v>44602</v>
      </c>
      <c r="AI704" s="6">
        <v>44926</v>
      </c>
    </row>
    <row r="705" spans="1:35" x14ac:dyDescent="0.3">
      <c r="A705" s="1" t="s">
        <v>1598</v>
      </c>
      <c r="B705" s="2" t="str">
        <f>HYPERLINK("https://my.zakupki.prom.ua/remote/dispatcher/state_purchase_view/34685212")</f>
        <v>https://my.zakupki.prom.ua/remote/dispatcher/state_purchase_view/34685212</v>
      </c>
      <c r="C705" s="1" t="s">
        <v>2331</v>
      </c>
      <c r="D705" s="1" t="s">
        <v>694</v>
      </c>
      <c r="E705" s="4">
        <v>14</v>
      </c>
      <c r="F705" s="5">
        <v>155</v>
      </c>
      <c r="G705" s="1" t="s">
        <v>4991</v>
      </c>
      <c r="H705" s="1" t="s">
        <v>277</v>
      </c>
      <c r="I705" s="1" t="s">
        <v>2390</v>
      </c>
      <c r="J705" s="5">
        <v>2170</v>
      </c>
      <c r="K705" s="1" t="s">
        <v>3394</v>
      </c>
      <c r="L705" s="5">
        <v>10.85</v>
      </c>
      <c r="M705" s="1" t="s">
        <v>2308</v>
      </c>
      <c r="N705" s="1" t="s">
        <v>3983</v>
      </c>
      <c r="O705" s="1" t="s">
        <v>2521</v>
      </c>
      <c r="P705" s="1" t="s">
        <v>3956</v>
      </c>
      <c r="Q705" s="1" t="s">
        <v>2528</v>
      </c>
      <c r="R705" s="1" t="s">
        <v>4060</v>
      </c>
      <c r="S705" s="1" t="s">
        <v>4937</v>
      </c>
      <c r="T705" s="6">
        <v>44593</v>
      </c>
      <c r="U705" s="6">
        <v>44599</v>
      </c>
      <c r="V705" s="7">
        <v>0.5</v>
      </c>
      <c r="W705" s="6">
        <v>44602</v>
      </c>
      <c r="X705" s="7">
        <v>0.33333333333333331</v>
      </c>
      <c r="Y705" s="1" t="s">
        <v>4860</v>
      </c>
      <c r="Z705" s="5">
        <v>17</v>
      </c>
      <c r="AA705" s="1" t="s">
        <v>3403</v>
      </c>
      <c r="AB705" s="1"/>
      <c r="AC705" s="1"/>
      <c r="AD705" s="1"/>
      <c r="AE705" s="1" t="s">
        <v>3801</v>
      </c>
      <c r="AF705" s="1" t="s">
        <v>9</v>
      </c>
      <c r="AG705" s="1" t="s">
        <v>9</v>
      </c>
      <c r="AH705" s="1"/>
      <c r="AI705" s="6">
        <v>44621</v>
      </c>
    </row>
    <row r="706" spans="1:35" x14ac:dyDescent="0.3">
      <c r="A706" s="1" t="s">
        <v>1977</v>
      </c>
      <c r="B706" s="2" t="str">
        <f>HYPERLINK("https://my.zakupki.prom.ua/remote/dispatcher/state_purchase_view/34685188")</f>
        <v>https://my.zakupki.prom.ua/remote/dispatcher/state_purchase_view/34685188</v>
      </c>
      <c r="C706" s="1" t="s">
        <v>3676</v>
      </c>
      <c r="D706" s="1" t="s">
        <v>966</v>
      </c>
      <c r="E706" s="1" t="s">
        <v>4903</v>
      </c>
      <c r="F706" s="1" t="s">
        <v>4903</v>
      </c>
      <c r="G706" s="1" t="s">
        <v>4903</v>
      </c>
      <c r="H706" s="1" t="s">
        <v>333</v>
      </c>
      <c r="I706" s="1" t="s">
        <v>3163</v>
      </c>
      <c r="J706" s="5">
        <v>90000</v>
      </c>
      <c r="K706" s="1" t="s">
        <v>3394</v>
      </c>
      <c r="L706" s="5">
        <v>450</v>
      </c>
      <c r="M706" s="1" t="s">
        <v>2308</v>
      </c>
      <c r="N706" s="1" t="s">
        <v>3983</v>
      </c>
      <c r="O706" s="1" t="s">
        <v>2521</v>
      </c>
      <c r="P706" s="1" t="s">
        <v>3956</v>
      </c>
      <c r="Q706" s="1" t="s">
        <v>3970</v>
      </c>
      <c r="R706" s="1" t="s">
        <v>4520</v>
      </c>
      <c r="S706" s="1" t="s">
        <v>4937</v>
      </c>
      <c r="T706" s="6">
        <v>44593</v>
      </c>
      <c r="U706" s="6">
        <v>44599</v>
      </c>
      <c r="V706" s="7">
        <v>0</v>
      </c>
      <c r="W706" s="6">
        <v>44607</v>
      </c>
      <c r="X706" s="7">
        <v>0</v>
      </c>
      <c r="Y706" s="1" t="s">
        <v>4860</v>
      </c>
      <c r="Z706" s="5">
        <v>340</v>
      </c>
      <c r="AA706" s="1" t="s">
        <v>3403</v>
      </c>
      <c r="AB706" s="1"/>
      <c r="AC706" s="1"/>
      <c r="AD706" s="1"/>
      <c r="AE706" s="1" t="s">
        <v>3801</v>
      </c>
      <c r="AF706" s="1" t="s">
        <v>9</v>
      </c>
      <c r="AG706" s="4">
        <v>15</v>
      </c>
      <c r="AH706" s="1"/>
      <c r="AI706" s="6">
        <v>44926</v>
      </c>
    </row>
    <row r="707" spans="1:35" x14ac:dyDescent="0.3">
      <c r="A707" s="1" t="s">
        <v>1596</v>
      </c>
      <c r="B707" s="2" t="str">
        <f>HYPERLINK("https://my.zakupki.prom.ua/remote/dispatcher/state_purchase_view/34685187")</f>
        <v>https://my.zakupki.prom.ua/remote/dispatcher/state_purchase_view/34685187</v>
      </c>
      <c r="C707" s="1" t="s">
        <v>2395</v>
      </c>
      <c r="D707" s="1" t="s">
        <v>373</v>
      </c>
      <c r="E707" s="4">
        <v>4000</v>
      </c>
      <c r="F707" s="5">
        <v>35</v>
      </c>
      <c r="G707" s="1" t="s">
        <v>4908</v>
      </c>
      <c r="H707" s="1" t="s">
        <v>1067</v>
      </c>
      <c r="I707" s="1" t="s">
        <v>2438</v>
      </c>
      <c r="J707" s="5">
        <v>140000</v>
      </c>
      <c r="K707" s="1" t="s">
        <v>3394</v>
      </c>
      <c r="L707" s="5">
        <v>700</v>
      </c>
      <c r="M707" s="1" t="s">
        <v>2308</v>
      </c>
      <c r="N707" s="1" t="s">
        <v>3983</v>
      </c>
      <c r="O707" s="1" t="s">
        <v>2521</v>
      </c>
      <c r="P707" s="1" t="s">
        <v>3956</v>
      </c>
      <c r="Q707" s="1" t="s">
        <v>3035</v>
      </c>
      <c r="R707" s="1" t="s">
        <v>4581</v>
      </c>
      <c r="S707" s="1" t="s">
        <v>4937</v>
      </c>
      <c r="T707" s="6">
        <v>44593</v>
      </c>
      <c r="U707" s="6">
        <v>44599</v>
      </c>
      <c r="V707" s="7">
        <v>0</v>
      </c>
      <c r="W707" s="6">
        <v>44602</v>
      </c>
      <c r="X707" s="7">
        <v>0</v>
      </c>
      <c r="Y707" s="1" t="s">
        <v>4860</v>
      </c>
      <c r="Z707" s="5">
        <v>340</v>
      </c>
      <c r="AA707" s="1" t="s">
        <v>3403</v>
      </c>
      <c r="AB707" s="1"/>
      <c r="AC707" s="1"/>
      <c r="AD707" s="1"/>
      <c r="AE707" s="1" t="s">
        <v>3775</v>
      </c>
      <c r="AF707" s="1" t="s">
        <v>9</v>
      </c>
      <c r="AG707" s="1" t="s">
        <v>9</v>
      </c>
      <c r="AH707" s="1"/>
      <c r="AI707" s="6">
        <v>44923</v>
      </c>
    </row>
    <row r="708" spans="1:35" x14ac:dyDescent="0.3">
      <c r="A708" s="1" t="s">
        <v>1979</v>
      </c>
      <c r="B708" s="2" t="str">
        <f>HYPERLINK("https://my.zakupki.prom.ua/remote/dispatcher/state_purchase_view/34685185")</f>
        <v>https://my.zakupki.prom.ua/remote/dispatcher/state_purchase_view/34685185</v>
      </c>
      <c r="C708" s="1" t="s">
        <v>3955</v>
      </c>
      <c r="D708" s="1" t="s">
        <v>1144</v>
      </c>
      <c r="E708" s="4">
        <v>1</v>
      </c>
      <c r="F708" s="5">
        <v>2313041</v>
      </c>
      <c r="G708" s="1" t="s">
        <v>4975</v>
      </c>
      <c r="H708" s="1" t="s">
        <v>295</v>
      </c>
      <c r="I708" s="1" t="s">
        <v>2969</v>
      </c>
      <c r="J708" s="5">
        <v>2313041</v>
      </c>
      <c r="K708" s="1" t="s">
        <v>3394</v>
      </c>
      <c r="L708" s="5">
        <v>11600</v>
      </c>
      <c r="M708" s="1" t="s">
        <v>2308</v>
      </c>
      <c r="N708" s="1" t="s">
        <v>3983</v>
      </c>
      <c r="O708" s="1" t="s">
        <v>393</v>
      </c>
      <c r="P708" s="1" t="s">
        <v>2515</v>
      </c>
      <c r="Q708" s="1" t="s">
        <v>2334</v>
      </c>
      <c r="R708" s="1" t="s">
        <v>4142</v>
      </c>
      <c r="S708" s="1" t="s">
        <v>4971</v>
      </c>
      <c r="T708" s="6">
        <v>44593</v>
      </c>
      <c r="U708" s="6">
        <v>44593</v>
      </c>
      <c r="V708" s="7">
        <v>0.50305555555555559</v>
      </c>
      <c r="W708" s="6">
        <v>44609</v>
      </c>
      <c r="X708" s="7">
        <v>0.75</v>
      </c>
      <c r="Y708" s="8">
        <v>44610.532349537039</v>
      </c>
      <c r="Z708" s="5">
        <v>1700</v>
      </c>
      <c r="AA708" s="1" t="s">
        <v>3403</v>
      </c>
      <c r="AB708" s="1"/>
      <c r="AC708" s="1"/>
      <c r="AD708" s="1"/>
      <c r="AE708" s="1" t="s">
        <v>3702</v>
      </c>
      <c r="AF708" s="1" t="s">
        <v>9</v>
      </c>
      <c r="AG708" s="4">
        <v>1</v>
      </c>
      <c r="AH708" s="1"/>
      <c r="AI708" s="6">
        <v>44926</v>
      </c>
    </row>
    <row r="709" spans="1:35" x14ac:dyDescent="0.3">
      <c r="A709" s="1" t="s">
        <v>1600</v>
      </c>
      <c r="B709" s="2" t="str">
        <f>HYPERLINK("https://my.zakupki.prom.ua/remote/dispatcher/state_purchase_view/34685170")</f>
        <v>https://my.zakupki.prom.ua/remote/dispatcher/state_purchase_view/34685170</v>
      </c>
      <c r="C709" s="1" t="s">
        <v>3213</v>
      </c>
      <c r="D709" s="1" t="s">
        <v>1091</v>
      </c>
      <c r="E709" s="1" t="s">
        <v>4903</v>
      </c>
      <c r="F709" s="1" t="s">
        <v>4903</v>
      </c>
      <c r="G709" s="1" t="s">
        <v>4903</v>
      </c>
      <c r="H709" s="1" t="s">
        <v>267</v>
      </c>
      <c r="I709" s="1" t="s">
        <v>3176</v>
      </c>
      <c r="J709" s="5">
        <v>112000</v>
      </c>
      <c r="K709" s="1" t="s">
        <v>3394</v>
      </c>
      <c r="L709" s="5">
        <v>3360</v>
      </c>
      <c r="M709" s="1" t="s">
        <v>2308</v>
      </c>
      <c r="N709" s="1" t="s">
        <v>3983</v>
      </c>
      <c r="O709" s="1" t="s">
        <v>2521</v>
      </c>
      <c r="P709" s="1" t="s">
        <v>3956</v>
      </c>
      <c r="Q709" s="1" t="s">
        <v>3035</v>
      </c>
      <c r="R709" s="1" t="s">
        <v>4081</v>
      </c>
      <c r="S709" s="1" t="s">
        <v>4937</v>
      </c>
      <c r="T709" s="6">
        <v>44593</v>
      </c>
      <c r="U709" s="6">
        <v>44599</v>
      </c>
      <c r="V709" s="7">
        <v>0.5</v>
      </c>
      <c r="W709" s="6">
        <v>44602</v>
      </c>
      <c r="X709" s="7">
        <v>0.5</v>
      </c>
      <c r="Y709" s="1" t="s">
        <v>4860</v>
      </c>
      <c r="Z709" s="5">
        <v>340</v>
      </c>
      <c r="AA709" s="1" t="s">
        <v>3403</v>
      </c>
      <c r="AB709" s="1"/>
      <c r="AC709" s="1"/>
      <c r="AD709" s="1"/>
      <c r="AE709" s="1" t="s">
        <v>3788</v>
      </c>
      <c r="AF709" s="1" t="s">
        <v>9</v>
      </c>
      <c r="AG709" s="4">
        <v>18</v>
      </c>
      <c r="AH709" s="1"/>
      <c r="AI709" s="6">
        <v>44926</v>
      </c>
    </row>
    <row r="710" spans="1:35" x14ac:dyDescent="0.3">
      <c r="A710" s="1" t="s">
        <v>1574</v>
      </c>
      <c r="B710" s="2" t="str">
        <f>HYPERLINK("https://my.zakupki.prom.ua/remote/dispatcher/state_purchase_view/34685145")</f>
        <v>https://my.zakupki.prom.ua/remote/dispatcher/state_purchase_view/34685145</v>
      </c>
      <c r="C710" s="1" t="s">
        <v>2635</v>
      </c>
      <c r="D710" s="1" t="s">
        <v>1223</v>
      </c>
      <c r="E710" s="4">
        <v>1</v>
      </c>
      <c r="F710" s="5">
        <v>75000</v>
      </c>
      <c r="G710" s="1" t="s">
        <v>4940</v>
      </c>
      <c r="H710" s="1" t="s">
        <v>83</v>
      </c>
      <c r="I710" s="1" t="s">
        <v>3034</v>
      </c>
      <c r="J710" s="5">
        <v>75000</v>
      </c>
      <c r="K710" s="1" t="s">
        <v>3394</v>
      </c>
      <c r="L710" s="5">
        <v>375</v>
      </c>
      <c r="M710" s="1" t="s">
        <v>2308</v>
      </c>
      <c r="N710" s="1" t="s">
        <v>3983</v>
      </c>
      <c r="O710" s="1" t="s">
        <v>2521</v>
      </c>
      <c r="P710" s="1" t="s">
        <v>3956</v>
      </c>
      <c r="Q710" s="1" t="s">
        <v>3035</v>
      </c>
      <c r="R710" s="1" t="s">
        <v>4314</v>
      </c>
      <c r="S710" s="1" t="s">
        <v>4937</v>
      </c>
      <c r="T710" s="6">
        <v>44593</v>
      </c>
      <c r="U710" s="6">
        <v>44599</v>
      </c>
      <c r="V710" s="7">
        <v>0.54166666666666663</v>
      </c>
      <c r="W710" s="6">
        <v>44603</v>
      </c>
      <c r="X710" s="7">
        <v>0.625</v>
      </c>
      <c r="Y710" s="1" t="s">
        <v>4860</v>
      </c>
      <c r="Z710" s="5">
        <v>340</v>
      </c>
      <c r="AA710" s="1" t="s">
        <v>3403</v>
      </c>
      <c r="AB710" s="1"/>
      <c r="AC710" s="1"/>
      <c r="AD710" s="1"/>
      <c r="AE710" s="1" t="s">
        <v>3738</v>
      </c>
      <c r="AF710" s="1" t="s">
        <v>9</v>
      </c>
      <c r="AG710" s="4">
        <v>47</v>
      </c>
      <c r="AH710" s="1"/>
      <c r="AI710" s="6">
        <v>44915</v>
      </c>
    </row>
    <row r="711" spans="1:35" x14ac:dyDescent="0.3">
      <c r="A711" s="1" t="s">
        <v>1982</v>
      </c>
      <c r="B711" s="2" t="str">
        <f>HYPERLINK("https://my.zakupki.prom.ua/remote/dispatcher/state_purchase_view/34685141")</f>
        <v>https://my.zakupki.prom.ua/remote/dispatcher/state_purchase_view/34685141</v>
      </c>
      <c r="C711" s="1" t="s">
        <v>3268</v>
      </c>
      <c r="D711" s="1" t="s">
        <v>789</v>
      </c>
      <c r="E711" s="1" t="s">
        <v>4903</v>
      </c>
      <c r="F711" s="1" t="s">
        <v>4903</v>
      </c>
      <c r="G711" s="1" t="s">
        <v>4903</v>
      </c>
      <c r="H711" s="1" t="s">
        <v>57</v>
      </c>
      <c r="I711" s="1" t="s">
        <v>2882</v>
      </c>
      <c r="J711" s="5">
        <v>51000</v>
      </c>
      <c r="K711" s="1" t="s">
        <v>3394</v>
      </c>
      <c r="L711" s="5">
        <v>255</v>
      </c>
      <c r="M711" s="1" t="s">
        <v>2308</v>
      </c>
      <c r="N711" s="1" t="s">
        <v>3983</v>
      </c>
      <c r="O711" s="1" t="s">
        <v>2521</v>
      </c>
      <c r="P711" s="1" t="s">
        <v>2515</v>
      </c>
      <c r="Q711" s="1" t="s">
        <v>2756</v>
      </c>
      <c r="R711" s="1" t="s">
        <v>4158</v>
      </c>
      <c r="S711" s="1" t="s">
        <v>4971</v>
      </c>
      <c r="T711" s="6">
        <v>44593</v>
      </c>
      <c r="U711" s="6">
        <v>44593</v>
      </c>
      <c r="V711" s="7">
        <v>0.50342592592592594</v>
      </c>
      <c r="W711" s="6">
        <v>44609</v>
      </c>
      <c r="X711" s="7">
        <v>0.54166666666666663</v>
      </c>
      <c r="Y711" s="8">
        <v>44610.585833333331</v>
      </c>
      <c r="Z711" s="5">
        <v>340</v>
      </c>
      <c r="AA711" s="1" t="s">
        <v>3403</v>
      </c>
      <c r="AB711" s="1"/>
      <c r="AC711" s="1"/>
      <c r="AD711" s="1"/>
      <c r="AE711" s="1" t="s">
        <v>3788</v>
      </c>
      <c r="AF711" s="1" t="s">
        <v>9</v>
      </c>
      <c r="AG711" s="4">
        <v>3</v>
      </c>
      <c r="AH711" s="1"/>
      <c r="AI711" s="6">
        <v>44926</v>
      </c>
    </row>
    <row r="712" spans="1:35" x14ac:dyDescent="0.3">
      <c r="A712" s="1" t="s">
        <v>1429</v>
      </c>
      <c r="B712" s="2" t="str">
        <f>HYPERLINK("https://my.zakupki.prom.ua/remote/dispatcher/state_purchase_view/34685108")</f>
        <v>https://my.zakupki.prom.ua/remote/dispatcher/state_purchase_view/34685108</v>
      </c>
      <c r="C712" s="1" t="s">
        <v>2387</v>
      </c>
      <c r="D712" s="1" t="s">
        <v>229</v>
      </c>
      <c r="E712" s="1" t="s">
        <v>4903</v>
      </c>
      <c r="F712" s="1" t="s">
        <v>4903</v>
      </c>
      <c r="G712" s="1" t="s">
        <v>4903</v>
      </c>
      <c r="H712" s="1" t="s">
        <v>596</v>
      </c>
      <c r="I712" s="1" t="s">
        <v>2541</v>
      </c>
      <c r="J712" s="5">
        <v>277195</v>
      </c>
      <c r="K712" s="1" t="s">
        <v>3394</v>
      </c>
      <c r="L712" s="5">
        <v>1385.98</v>
      </c>
      <c r="M712" s="1" t="s">
        <v>2308</v>
      </c>
      <c r="N712" s="1" t="s">
        <v>3983</v>
      </c>
      <c r="O712" s="1" t="s">
        <v>2521</v>
      </c>
      <c r="P712" s="1" t="s">
        <v>2515</v>
      </c>
      <c r="Q712" s="1" t="s">
        <v>4805</v>
      </c>
      <c r="R712" s="1" t="s">
        <v>4587</v>
      </c>
      <c r="S712" s="1" t="s">
        <v>4971</v>
      </c>
      <c r="T712" s="6">
        <v>44593</v>
      </c>
      <c r="U712" s="6">
        <v>44593</v>
      </c>
      <c r="V712" s="7">
        <v>0.45687023388888892</v>
      </c>
      <c r="W712" s="6">
        <v>44609</v>
      </c>
      <c r="X712" s="7">
        <v>0.75</v>
      </c>
      <c r="Y712" s="8">
        <v>44610.614444444444</v>
      </c>
      <c r="Z712" s="5">
        <v>510</v>
      </c>
      <c r="AA712" s="1" t="s">
        <v>3403</v>
      </c>
      <c r="AB712" s="1"/>
      <c r="AC712" s="1"/>
      <c r="AD712" s="1"/>
      <c r="AE712" s="1" t="s">
        <v>3768</v>
      </c>
      <c r="AF712" s="1" t="s">
        <v>9</v>
      </c>
      <c r="AG712" s="1" t="s">
        <v>9</v>
      </c>
      <c r="AH712" s="1"/>
      <c r="AI712" s="6">
        <v>44926</v>
      </c>
    </row>
    <row r="713" spans="1:35" x14ac:dyDescent="0.3">
      <c r="A713" s="1" t="s">
        <v>1599</v>
      </c>
      <c r="B713" s="2" t="str">
        <f>HYPERLINK("https://my.zakupki.prom.ua/remote/dispatcher/state_purchase_view/34685103")</f>
        <v>https://my.zakupki.prom.ua/remote/dispatcher/state_purchase_view/34685103</v>
      </c>
      <c r="C713" s="1" t="s">
        <v>3670</v>
      </c>
      <c r="D713" s="1" t="s">
        <v>512</v>
      </c>
      <c r="E713" s="4">
        <v>150</v>
      </c>
      <c r="F713" s="5">
        <v>393.33</v>
      </c>
      <c r="G713" s="1" t="s">
        <v>4991</v>
      </c>
      <c r="H713" s="1" t="s">
        <v>911</v>
      </c>
      <c r="I713" s="1" t="s">
        <v>3158</v>
      </c>
      <c r="J713" s="5">
        <v>59000</v>
      </c>
      <c r="K713" s="1" t="s">
        <v>3394</v>
      </c>
      <c r="L713" s="5">
        <v>295</v>
      </c>
      <c r="M713" s="1" t="s">
        <v>2308</v>
      </c>
      <c r="N713" s="1" t="s">
        <v>3983</v>
      </c>
      <c r="O713" s="1" t="s">
        <v>2521</v>
      </c>
      <c r="P713" s="1" t="s">
        <v>3956</v>
      </c>
      <c r="Q713" s="1" t="s">
        <v>2761</v>
      </c>
      <c r="R713" s="1" t="s">
        <v>4388</v>
      </c>
      <c r="S713" s="1" t="s">
        <v>4937</v>
      </c>
      <c r="T713" s="6">
        <v>44593</v>
      </c>
      <c r="U713" s="6">
        <v>44599</v>
      </c>
      <c r="V713" s="7">
        <v>0.54513888888888884</v>
      </c>
      <c r="W713" s="6">
        <v>44602</v>
      </c>
      <c r="X713" s="7">
        <v>0.375</v>
      </c>
      <c r="Y713" s="1" t="s">
        <v>4860</v>
      </c>
      <c r="Z713" s="5">
        <v>340</v>
      </c>
      <c r="AA713" s="1" t="s">
        <v>3403</v>
      </c>
      <c r="AB713" s="1"/>
      <c r="AC713" s="1"/>
      <c r="AD713" s="1"/>
      <c r="AE713" s="1" t="s">
        <v>3788</v>
      </c>
      <c r="AF713" s="1" t="s">
        <v>9</v>
      </c>
      <c r="AG713" s="4">
        <v>4</v>
      </c>
      <c r="AH713" s="1"/>
      <c r="AI713" s="6">
        <v>44635</v>
      </c>
    </row>
    <row r="714" spans="1:35" x14ac:dyDescent="0.3">
      <c r="A714" s="1" t="s">
        <v>1368</v>
      </c>
      <c r="B714" s="2" t="str">
        <f>HYPERLINK("https://my.zakupki.prom.ua/remote/dispatcher/state_purchase_view/34685099")</f>
        <v>https://my.zakupki.prom.ua/remote/dispatcher/state_purchase_view/34685099</v>
      </c>
      <c r="C714" s="1" t="s">
        <v>4943</v>
      </c>
      <c r="D714" s="1" t="s">
        <v>1189</v>
      </c>
      <c r="E714" s="4">
        <v>1</v>
      </c>
      <c r="F714" s="5">
        <v>98545</v>
      </c>
      <c r="G714" s="1" t="s">
        <v>4940</v>
      </c>
      <c r="H714" s="1" t="s">
        <v>721</v>
      </c>
      <c r="I714" s="1" t="s">
        <v>2589</v>
      </c>
      <c r="J714" s="5">
        <v>98545</v>
      </c>
      <c r="K714" s="1" t="s">
        <v>3394</v>
      </c>
      <c r="L714" s="5">
        <v>492.73</v>
      </c>
      <c r="M714" s="1" t="s">
        <v>2308</v>
      </c>
      <c r="N714" s="1" t="s">
        <v>3983</v>
      </c>
      <c r="O714" s="1" t="s">
        <v>2521</v>
      </c>
      <c r="P714" s="1" t="s">
        <v>3956</v>
      </c>
      <c r="Q714" s="1" t="s">
        <v>3035</v>
      </c>
      <c r="R714" s="1" t="s">
        <v>4081</v>
      </c>
      <c r="S714" s="1" t="s">
        <v>4937</v>
      </c>
      <c r="T714" s="6">
        <v>44593</v>
      </c>
      <c r="U714" s="6">
        <v>44599</v>
      </c>
      <c r="V714" s="7">
        <v>0</v>
      </c>
      <c r="W714" s="6">
        <v>44601</v>
      </c>
      <c r="X714" s="7">
        <v>0</v>
      </c>
      <c r="Y714" s="1" t="s">
        <v>4860</v>
      </c>
      <c r="Z714" s="5">
        <v>340</v>
      </c>
      <c r="AA714" s="1" t="s">
        <v>3403</v>
      </c>
      <c r="AB714" s="1"/>
      <c r="AC714" s="1"/>
      <c r="AD714" s="1"/>
      <c r="AE714" s="1" t="s">
        <v>3736</v>
      </c>
      <c r="AF714" s="1" t="s">
        <v>9</v>
      </c>
      <c r="AG714" s="1" t="s">
        <v>9</v>
      </c>
      <c r="AH714" s="1"/>
      <c r="AI714" s="6">
        <v>44926</v>
      </c>
    </row>
    <row r="715" spans="1:35" x14ac:dyDescent="0.3">
      <c r="A715" s="1" t="s">
        <v>1988</v>
      </c>
      <c r="B715" s="2" t="str">
        <f>HYPERLINK("https://my.zakupki.prom.ua/remote/dispatcher/state_purchase_view/34685078")</f>
        <v>https://my.zakupki.prom.ua/remote/dispatcher/state_purchase_view/34685078</v>
      </c>
      <c r="C715" s="1" t="s">
        <v>2612</v>
      </c>
      <c r="D715" s="1" t="s">
        <v>510</v>
      </c>
      <c r="E715" s="4">
        <v>58</v>
      </c>
      <c r="F715" s="5">
        <v>3100</v>
      </c>
      <c r="G715" s="1" t="s">
        <v>4857</v>
      </c>
      <c r="H715" s="1" t="s">
        <v>942</v>
      </c>
      <c r="I715" s="1" t="s">
        <v>2918</v>
      </c>
      <c r="J715" s="5">
        <v>179800</v>
      </c>
      <c r="K715" s="1" t="s">
        <v>3394</v>
      </c>
      <c r="L715" s="5">
        <v>899</v>
      </c>
      <c r="M715" s="1" t="s">
        <v>2308</v>
      </c>
      <c r="N715" s="1" t="s">
        <v>3983</v>
      </c>
      <c r="O715" s="1" t="s">
        <v>2521</v>
      </c>
      <c r="P715" s="1" t="s">
        <v>3956</v>
      </c>
      <c r="Q715" s="1" t="s">
        <v>3992</v>
      </c>
      <c r="R715" s="1" t="s">
        <v>4288</v>
      </c>
      <c r="S715" s="1" t="s">
        <v>4937</v>
      </c>
      <c r="T715" s="6">
        <v>44593</v>
      </c>
      <c r="U715" s="6">
        <v>44602</v>
      </c>
      <c r="V715" s="7">
        <v>0.41666666666666669</v>
      </c>
      <c r="W715" s="6">
        <v>44607</v>
      </c>
      <c r="X715" s="7">
        <v>0.375</v>
      </c>
      <c r="Y715" s="1" t="s">
        <v>4860</v>
      </c>
      <c r="Z715" s="5">
        <v>340</v>
      </c>
      <c r="AA715" s="1" t="s">
        <v>3403</v>
      </c>
      <c r="AB715" s="1"/>
      <c r="AC715" s="1"/>
      <c r="AD715" s="1"/>
      <c r="AE715" s="1" t="s">
        <v>3765</v>
      </c>
      <c r="AF715" s="1" t="s">
        <v>9</v>
      </c>
      <c r="AG715" s="1" t="s">
        <v>9</v>
      </c>
      <c r="AH715" s="6">
        <v>44593</v>
      </c>
      <c r="AI715" s="6">
        <v>44926</v>
      </c>
    </row>
    <row r="716" spans="1:35" x14ac:dyDescent="0.3">
      <c r="A716" s="1" t="s">
        <v>1987</v>
      </c>
      <c r="B716" s="2" t="str">
        <f>HYPERLINK("https://my.zakupki.prom.ua/remote/dispatcher/state_purchase_view/34685063")</f>
        <v>https://my.zakupki.prom.ua/remote/dispatcher/state_purchase_view/34685063</v>
      </c>
      <c r="C716" s="1" t="s">
        <v>2321</v>
      </c>
      <c r="D716" s="1" t="s">
        <v>441</v>
      </c>
      <c r="E716" s="1" t="s">
        <v>4903</v>
      </c>
      <c r="F716" s="1" t="s">
        <v>4903</v>
      </c>
      <c r="G716" s="1" t="s">
        <v>4903</v>
      </c>
      <c r="H716" s="1" t="s">
        <v>587</v>
      </c>
      <c r="I716" s="1" t="s">
        <v>4744</v>
      </c>
      <c r="J716" s="5">
        <v>1946969.89</v>
      </c>
      <c r="K716" s="1" t="s">
        <v>3394</v>
      </c>
      <c r="L716" s="5">
        <v>19469.7</v>
      </c>
      <c r="M716" s="1" t="s">
        <v>2308</v>
      </c>
      <c r="N716" s="1" t="s">
        <v>3983</v>
      </c>
      <c r="O716" s="1" t="s">
        <v>1188</v>
      </c>
      <c r="P716" s="1" t="s">
        <v>2515</v>
      </c>
      <c r="Q716" s="1" t="s">
        <v>4794</v>
      </c>
      <c r="R716" s="1" t="s">
        <v>4599</v>
      </c>
      <c r="S716" s="1" t="s">
        <v>4971</v>
      </c>
      <c r="T716" s="6">
        <v>44593</v>
      </c>
      <c r="U716" s="6">
        <v>44593</v>
      </c>
      <c r="V716" s="7">
        <v>0.50383352658564817</v>
      </c>
      <c r="W716" s="6">
        <v>44609</v>
      </c>
      <c r="X716" s="7">
        <v>0.49236111111111114</v>
      </c>
      <c r="Y716" s="8">
        <v>44610.664976851855</v>
      </c>
      <c r="Z716" s="5">
        <v>1700</v>
      </c>
      <c r="AA716" s="1" t="s">
        <v>3403</v>
      </c>
      <c r="AB716" s="1"/>
      <c r="AC716" s="1"/>
      <c r="AD716" s="1"/>
      <c r="AE716" s="1" t="s">
        <v>3774</v>
      </c>
      <c r="AF716" s="1" t="s">
        <v>9</v>
      </c>
      <c r="AG716" s="4">
        <v>24</v>
      </c>
      <c r="AH716" s="1"/>
      <c r="AI716" s="6">
        <v>44926</v>
      </c>
    </row>
    <row r="717" spans="1:35" x14ac:dyDescent="0.3">
      <c r="A717" s="1" t="s">
        <v>1986</v>
      </c>
      <c r="B717" s="2" t="str">
        <f>HYPERLINK("https://my.zakupki.prom.ua/remote/dispatcher/state_purchase_view/34685009")</f>
        <v>https://my.zakupki.prom.ua/remote/dispatcher/state_purchase_view/34685009</v>
      </c>
      <c r="C717" s="1" t="s">
        <v>2370</v>
      </c>
      <c r="D717" s="1" t="s">
        <v>1056</v>
      </c>
      <c r="E717" s="4">
        <v>1</v>
      </c>
      <c r="F717" s="5">
        <v>2996000</v>
      </c>
      <c r="G717" s="1" t="s">
        <v>4930</v>
      </c>
      <c r="H717" s="1" t="s">
        <v>878</v>
      </c>
      <c r="I717" s="1" t="s">
        <v>2930</v>
      </c>
      <c r="J717" s="5">
        <v>2996000</v>
      </c>
      <c r="K717" s="1" t="s">
        <v>3394</v>
      </c>
      <c r="L717" s="5">
        <v>14980</v>
      </c>
      <c r="M717" s="1" t="s">
        <v>2308</v>
      </c>
      <c r="N717" s="1" t="s">
        <v>3983</v>
      </c>
      <c r="O717" s="1" t="s">
        <v>2521</v>
      </c>
      <c r="P717" s="1" t="s">
        <v>2515</v>
      </c>
      <c r="Q717" s="1" t="s">
        <v>4794</v>
      </c>
      <c r="R717" s="1" t="s">
        <v>4367</v>
      </c>
      <c r="S717" s="1" t="s">
        <v>4971</v>
      </c>
      <c r="T717" s="6">
        <v>44593</v>
      </c>
      <c r="U717" s="6">
        <v>44593</v>
      </c>
      <c r="V717" s="7">
        <v>0.50271424086805561</v>
      </c>
      <c r="W717" s="6">
        <v>44614</v>
      </c>
      <c r="X717" s="7">
        <v>0.45833333333333331</v>
      </c>
      <c r="Y717" s="8">
        <v>44615.565717592595</v>
      </c>
      <c r="Z717" s="5">
        <v>1700</v>
      </c>
      <c r="AA717" s="1" t="s">
        <v>3403</v>
      </c>
      <c r="AB717" s="1"/>
      <c r="AC717" s="1"/>
      <c r="AD717" s="1"/>
      <c r="AE717" s="1" t="s">
        <v>3791</v>
      </c>
      <c r="AF717" s="1" t="s">
        <v>9</v>
      </c>
      <c r="AG717" s="4">
        <v>2</v>
      </c>
      <c r="AH717" s="1"/>
      <c r="AI717" s="6">
        <v>44926</v>
      </c>
    </row>
    <row r="718" spans="1:35" x14ac:dyDescent="0.3">
      <c r="A718" s="1" t="s">
        <v>1985</v>
      </c>
      <c r="B718" s="2" t="str">
        <f>HYPERLINK("https://my.zakupki.prom.ua/remote/dispatcher/state_purchase_view/34684626")</f>
        <v>https://my.zakupki.prom.ua/remote/dispatcher/state_purchase_view/34684626</v>
      </c>
      <c r="C718" s="1" t="s">
        <v>1208</v>
      </c>
      <c r="D718" s="1" t="s">
        <v>1207</v>
      </c>
      <c r="E718" s="4">
        <v>27</v>
      </c>
      <c r="F718" s="5">
        <v>2222.2199999999998</v>
      </c>
      <c r="G718" s="1" t="s">
        <v>4991</v>
      </c>
      <c r="H718" s="1" t="s">
        <v>946</v>
      </c>
      <c r="I718" s="1" t="s">
        <v>2848</v>
      </c>
      <c r="J718" s="5">
        <v>60000</v>
      </c>
      <c r="K718" s="1" t="s">
        <v>3394</v>
      </c>
      <c r="L718" s="5">
        <v>300</v>
      </c>
      <c r="M718" s="1" t="s">
        <v>2308</v>
      </c>
      <c r="N718" s="1" t="s">
        <v>3983</v>
      </c>
      <c r="O718" s="1" t="s">
        <v>2521</v>
      </c>
      <c r="P718" s="1" t="s">
        <v>3956</v>
      </c>
      <c r="Q718" s="1" t="s">
        <v>4834</v>
      </c>
      <c r="R718" s="1" t="s">
        <v>4453</v>
      </c>
      <c r="S718" s="1" t="s">
        <v>4937</v>
      </c>
      <c r="T718" s="6">
        <v>44593</v>
      </c>
      <c r="U718" s="6">
        <v>44599</v>
      </c>
      <c r="V718" s="7">
        <v>0.45833333333333331</v>
      </c>
      <c r="W718" s="6">
        <v>44602</v>
      </c>
      <c r="X718" s="7">
        <v>0</v>
      </c>
      <c r="Y718" s="1" t="s">
        <v>4860</v>
      </c>
      <c r="Z718" s="5">
        <v>340</v>
      </c>
      <c r="AA718" s="1" t="s">
        <v>3403</v>
      </c>
      <c r="AB718" s="1"/>
      <c r="AC718" s="1"/>
      <c r="AD718" s="1"/>
      <c r="AE718" s="1" t="s">
        <v>3750</v>
      </c>
      <c r="AF718" s="1" t="s">
        <v>9</v>
      </c>
      <c r="AG718" s="4">
        <v>2</v>
      </c>
      <c r="AH718" s="1"/>
      <c r="AI718" s="6">
        <v>44926</v>
      </c>
    </row>
    <row r="719" spans="1:35" x14ac:dyDescent="0.3">
      <c r="A719" s="1" t="s">
        <v>1984</v>
      </c>
      <c r="B719" s="2" t="str">
        <f>HYPERLINK("https://my.zakupki.prom.ua/remote/dispatcher/state_purchase_view/34684954")</f>
        <v>https://my.zakupki.prom.ua/remote/dispatcher/state_purchase_view/34684954</v>
      </c>
      <c r="C719" s="1" t="s">
        <v>3306</v>
      </c>
      <c r="D719" s="1" t="s">
        <v>1046</v>
      </c>
      <c r="E719" s="4">
        <v>1</v>
      </c>
      <c r="F719" s="5">
        <v>21300</v>
      </c>
      <c r="G719" s="1" t="s">
        <v>4991</v>
      </c>
      <c r="H719" s="1" t="s">
        <v>123</v>
      </c>
      <c r="I719" s="1" t="s">
        <v>2872</v>
      </c>
      <c r="J719" s="5">
        <v>21300</v>
      </c>
      <c r="K719" s="1" t="s">
        <v>3394</v>
      </c>
      <c r="L719" s="5">
        <v>213</v>
      </c>
      <c r="M719" s="1" t="s">
        <v>2308</v>
      </c>
      <c r="N719" s="1" t="s">
        <v>3983</v>
      </c>
      <c r="O719" s="1" t="s">
        <v>2521</v>
      </c>
      <c r="P719" s="1" t="s">
        <v>3956</v>
      </c>
      <c r="Q719" s="1" t="s">
        <v>4834</v>
      </c>
      <c r="R719" s="1" t="s">
        <v>4045</v>
      </c>
      <c r="S719" s="1" t="s">
        <v>4937</v>
      </c>
      <c r="T719" s="6">
        <v>44593</v>
      </c>
      <c r="U719" s="6">
        <v>44599</v>
      </c>
      <c r="V719" s="7">
        <v>0.41666666666666669</v>
      </c>
      <c r="W719" s="6">
        <v>44602</v>
      </c>
      <c r="X719" s="7">
        <v>0.41666666666666669</v>
      </c>
      <c r="Y719" s="1" t="s">
        <v>4860</v>
      </c>
      <c r="Z719" s="5">
        <v>119</v>
      </c>
      <c r="AA719" s="1" t="s">
        <v>3403</v>
      </c>
      <c r="AB719" s="1"/>
      <c r="AC719" s="1"/>
      <c r="AD719" s="1"/>
      <c r="AE719" s="1" t="s">
        <v>3788</v>
      </c>
      <c r="AF719" s="1" t="s">
        <v>9</v>
      </c>
      <c r="AG719" s="4">
        <v>2</v>
      </c>
      <c r="AH719" s="6">
        <v>44602</v>
      </c>
      <c r="AI719" s="6">
        <v>44620</v>
      </c>
    </row>
    <row r="720" spans="1:35" x14ac:dyDescent="0.3">
      <c r="A720" s="1" t="s">
        <v>1983</v>
      </c>
      <c r="B720" s="2" t="str">
        <f>HYPERLINK("https://my.zakupki.prom.ua/remote/dispatcher/state_purchase_view/34684953")</f>
        <v>https://my.zakupki.prom.ua/remote/dispatcher/state_purchase_view/34684953</v>
      </c>
      <c r="C720" s="1" t="s">
        <v>3409</v>
      </c>
      <c r="D720" s="1" t="s">
        <v>461</v>
      </c>
      <c r="E720" s="1" t="s">
        <v>4903</v>
      </c>
      <c r="F720" s="1" t="s">
        <v>4903</v>
      </c>
      <c r="G720" s="1" t="s">
        <v>4903</v>
      </c>
      <c r="H720" s="1" t="s">
        <v>706</v>
      </c>
      <c r="I720" s="1" t="s">
        <v>2694</v>
      </c>
      <c r="J720" s="5">
        <v>108720</v>
      </c>
      <c r="K720" s="1" t="s">
        <v>3394</v>
      </c>
      <c r="L720" s="5">
        <v>543.6</v>
      </c>
      <c r="M720" s="1" t="s">
        <v>2308</v>
      </c>
      <c r="N720" s="1" t="s">
        <v>3983</v>
      </c>
      <c r="O720" s="1" t="s">
        <v>2521</v>
      </c>
      <c r="P720" s="1" t="s">
        <v>3956</v>
      </c>
      <c r="Q720" s="1" t="s">
        <v>3238</v>
      </c>
      <c r="R720" s="1" t="s">
        <v>4674</v>
      </c>
      <c r="S720" s="1" t="s">
        <v>4937</v>
      </c>
      <c r="T720" s="6">
        <v>44593</v>
      </c>
      <c r="U720" s="6">
        <v>44599</v>
      </c>
      <c r="V720" s="7">
        <v>0</v>
      </c>
      <c r="W720" s="6">
        <v>44602</v>
      </c>
      <c r="X720" s="7">
        <v>0</v>
      </c>
      <c r="Y720" s="1" t="s">
        <v>4860</v>
      </c>
      <c r="Z720" s="5">
        <v>340</v>
      </c>
      <c r="AA720" s="1" t="s">
        <v>3403</v>
      </c>
      <c r="AB720" s="1"/>
      <c r="AC720" s="1"/>
      <c r="AD720" s="1"/>
      <c r="AE720" s="1" t="s">
        <v>3788</v>
      </c>
      <c r="AF720" s="1" t="s">
        <v>9</v>
      </c>
      <c r="AG720" s="1" t="s">
        <v>9</v>
      </c>
      <c r="AH720" s="1"/>
      <c r="AI720" s="6">
        <v>44926</v>
      </c>
    </row>
    <row r="721" spans="1:35" x14ac:dyDescent="0.3">
      <c r="A721" s="1" t="s">
        <v>1981</v>
      </c>
      <c r="B721" s="2" t="str">
        <f>HYPERLINK("https://my.zakupki.prom.ua/remote/dispatcher/state_purchase_view/34684951")</f>
        <v>https://my.zakupki.prom.ua/remote/dispatcher/state_purchase_view/34684951</v>
      </c>
      <c r="C721" s="1" t="s">
        <v>3873</v>
      </c>
      <c r="D721" s="1" t="s">
        <v>518</v>
      </c>
      <c r="E721" s="1" t="s">
        <v>4903</v>
      </c>
      <c r="F721" s="1" t="s">
        <v>4903</v>
      </c>
      <c r="G721" s="1" t="s">
        <v>4903</v>
      </c>
      <c r="H721" s="1" t="s">
        <v>119</v>
      </c>
      <c r="I721" s="1" t="s">
        <v>3152</v>
      </c>
      <c r="J721" s="5">
        <v>140000</v>
      </c>
      <c r="K721" s="1" t="s">
        <v>3394</v>
      </c>
      <c r="L721" s="5">
        <v>700</v>
      </c>
      <c r="M721" s="1" t="s">
        <v>2308</v>
      </c>
      <c r="N721" s="1" t="s">
        <v>3983</v>
      </c>
      <c r="O721" s="1" t="s">
        <v>2521</v>
      </c>
      <c r="P721" s="1" t="s">
        <v>3956</v>
      </c>
      <c r="Q721" s="1" t="s">
        <v>4831</v>
      </c>
      <c r="R721" s="1" t="s">
        <v>4567</v>
      </c>
      <c r="S721" s="1" t="s">
        <v>4937</v>
      </c>
      <c r="T721" s="6">
        <v>44593</v>
      </c>
      <c r="U721" s="6">
        <v>44599</v>
      </c>
      <c r="V721" s="7">
        <v>0.75</v>
      </c>
      <c r="W721" s="6">
        <v>44603</v>
      </c>
      <c r="X721" s="7">
        <v>0.375</v>
      </c>
      <c r="Y721" s="1" t="s">
        <v>4860</v>
      </c>
      <c r="Z721" s="5">
        <v>340</v>
      </c>
      <c r="AA721" s="1" t="s">
        <v>3403</v>
      </c>
      <c r="AB721" s="1"/>
      <c r="AC721" s="1"/>
      <c r="AD721" s="1"/>
      <c r="AE721" s="1" t="s">
        <v>3774</v>
      </c>
      <c r="AF721" s="1" t="s">
        <v>9</v>
      </c>
      <c r="AG721" s="1" t="s">
        <v>9</v>
      </c>
      <c r="AH721" s="1"/>
      <c r="AI721" s="6">
        <v>44926</v>
      </c>
    </row>
    <row r="722" spans="1:35" x14ac:dyDescent="0.3">
      <c r="A722" s="1" t="s">
        <v>1978</v>
      </c>
      <c r="B722" s="2" t="str">
        <f>HYPERLINK("https://my.zakupki.prom.ua/remote/dispatcher/state_purchase_lot_view/740668")</f>
        <v>https://my.zakupki.prom.ua/remote/dispatcher/state_purchase_lot_view/740668</v>
      </c>
      <c r="C722" s="1" t="s">
        <v>809</v>
      </c>
      <c r="D722" s="1" t="s">
        <v>810</v>
      </c>
      <c r="E722" s="1" t="s">
        <v>4903</v>
      </c>
      <c r="F722" s="1" t="s">
        <v>4903</v>
      </c>
      <c r="G722" s="1" t="s">
        <v>4903</v>
      </c>
      <c r="H722" s="1" t="s">
        <v>685</v>
      </c>
      <c r="I722" s="1" t="s">
        <v>2920</v>
      </c>
      <c r="J722" s="5">
        <v>196550</v>
      </c>
      <c r="K722" s="5">
        <v>183450</v>
      </c>
      <c r="L722" s="5">
        <v>1835</v>
      </c>
      <c r="M722" s="1" t="s">
        <v>2308</v>
      </c>
      <c r="N722" s="1" t="s">
        <v>3983</v>
      </c>
      <c r="O722" s="1" t="s">
        <v>2521</v>
      </c>
      <c r="P722" s="1" t="s">
        <v>3956</v>
      </c>
      <c r="Q722" s="1" t="s">
        <v>2756</v>
      </c>
      <c r="R722" s="1" t="s">
        <v>4655</v>
      </c>
      <c r="S722" s="1" t="s">
        <v>4937</v>
      </c>
      <c r="T722" s="6">
        <v>44593</v>
      </c>
      <c r="U722" s="6">
        <v>44599</v>
      </c>
      <c r="V722" s="7">
        <v>0.66666666666666663</v>
      </c>
      <c r="W722" s="6">
        <v>44603</v>
      </c>
      <c r="X722" s="7">
        <v>0.5</v>
      </c>
      <c r="Y722" s="1" t="s">
        <v>4860</v>
      </c>
      <c r="Z722" s="5">
        <v>340</v>
      </c>
      <c r="AA722" s="1" t="s">
        <v>3403</v>
      </c>
      <c r="AB722" s="1"/>
      <c r="AC722" s="1"/>
      <c r="AD722" s="1"/>
      <c r="AE722" s="1" t="s">
        <v>3772</v>
      </c>
      <c r="AF722" s="1" t="s">
        <v>9</v>
      </c>
      <c r="AG722" s="4">
        <v>3</v>
      </c>
      <c r="AH722" s="6">
        <v>44613</v>
      </c>
      <c r="AI722" s="6">
        <v>44926</v>
      </c>
    </row>
    <row r="723" spans="1:35" x14ac:dyDescent="0.3">
      <c r="A723" s="1" t="s">
        <v>1978</v>
      </c>
      <c r="B723" s="2" t="str">
        <f>HYPERLINK("https://my.zakupki.prom.ua/remote/dispatcher/state_purchase_lot_view/740669")</f>
        <v>https://my.zakupki.prom.ua/remote/dispatcher/state_purchase_lot_view/740669</v>
      </c>
      <c r="C723" s="1" t="s">
        <v>809</v>
      </c>
      <c r="D723" s="1" t="s">
        <v>810</v>
      </c>
      <c r="E723" s="1" t="s">
        <v>4903</v>
      </c>
      <c r="F723" s="1" t="s">
        <v>4903</v>
      </c>
      <c r="G723" s="1" t="s">
        <v>4903</v>
      </c>
      <c r="H723" s="1" t="s">
        <v>685</v>
      </c>
      <c r="I723" s="1" t="s">
        <v>2920</v>
      </c>
      <c r="J723" s="5">
        <v>196550</v>
      </c>
      <c r="K723" s="5">
        <v>13100</v>
      </c>
      <c r="L723" s="5">
        <v>131</v>
      </c>
      <c r="M723" s="1" t="s">
        <v>2308</v>
      </c>
      <c r="N723" s="1" t="s">
        <v>3983</v>
      </c>
      <c r="O723" s="1" t="s">
        <v>2521</v>
      </c>
      <c r="P723" s="1" t="s">
        <v>3956</v>
      </c>
      <c r="Q723" s="1" t="s">
        <v>2756</v>
      </c>
      <c r="R723" s="1" t="s">
        <v>4259</v>
      </c>
      <c r="S723" s="1" t="s">
        <v>4937</v>
      </c>
      <c r="T723" s="6">
        <v>44593</v>
      </c>
      <c r="U723" s="6">
        <v>44599</v>
      </c>
      <c r="V723" s="7">
        <v>0.66666666666666663</v>
      </c>
      <c r="W723" s="6">
        <v>44603</v>
      </c>
      <c r="X723" s="7">
        <v>0.5</v>
      </c>
      <c r="Y723" s="1" t="s">
        <v>4860</v>
      </c>
      <c r="Z723" s="5">
        <v>17</v>
      </c>
      <c r="AA723" s="1" t="s">
        <v>3403</v>
      </c>
      <c r="AB723" s="1"/>
      <c r="AC723" s="1"/>
      <c r="AD723" s="1"/>
      <c r="AE723" s="1" t="s">
        <v>3772</v>
      </c>
      <c r="AF723" s="1" t="s">
        <v>9</v>
      </c>
      <c r="AG723" s="4">
        <v>3</v>
      </c>
      <c r="AH723" s="6">
        <v>44613</v>
      </c>
      <c r="AI723" s="6">
        <v>44926</v>
      </c>
    </row>
    <row r="724" spans="1:35" x14ac:dyDescent="0.3">
      <c r="A724" s="1" t="s">
        <v>1593</v>
      </c>
      <c r="B724" s="2" t="str">
        <f>HYPERLINK("https://my.zakupki.prom.ua/remote/dispatcher/state_purchase_view/34684903")</f>
        <v>https://my.zakupki.prom.ua/remote/dispatcher/state_purchase_view/34684903</v>
      </c>
      <c r="C724" s="1" t="s">
        <v>2326</v>
      </c>
      <c r="D724" s="1" t="s">
        <v>1263</v>
      </c>
      <c r="E724" s="4">
        <v>4602</v>
      </c>
      <c r="F724" s="5">
        <v>319.79000000000002</v>
      </c>
      <c r="G724" s="1" t="s">
        <v>4940</v>
      </c>
      <c r="H724" s="1" t="s">
        <v>986</v>
      </c>
      <c r="I724" s="1" t="s">
        <v>2730</v>
      </c>
      <c r="J724" s="5">
        <v>1471658.57</v>
      </c>
      <c r="K724" s="1" t="s">
        <v>3394</v>
      </c>
      <c r="L724" s="5">
        <v>7358.29</v>
      </c>
      <c r="M724" s="1" t="s">
        <v>2308</v>
      </c>
      <c r="N724" s="1" t="s">
        <v>3983</v>
      </c>
      <c r="O724" s="1" t="s">
        <v>2521</v>
      </c>
      <c r="P724" s="1" t="s">
        <v>2516</v>
      </c>
      <c r="Q724" s="1" t="s">
        <v>4911</v>
      </c>
      <c r="R724" s="1" t="s">
        <v>4081</v>
      </c>
      <c r="S724" s="1" t="s">
        <v>4971</v>
      </c>
      <c r="T724" s="6">
        <v>44593</v>
      </c>
      <c r="U724" s="6">
        <v>44593</v>
      </c>
      <c r="V724" s="7">
        <v>0.49803916288194444</v>
      </c>
      <c r="W724" s="6">
        <v>44624</v>
      </c>
      <c r="X724" s="7">
        <v>0</v>
      </c>
      <c r="Y724" s="8">
        <v>44659.626782407409</v>
      </c>
      <c r="Z724" s="5">
        <v>1700</v>
      </c>
      <c r="AA724" s="1" t="s">
        <v>3403</v>
      </c>
      <c r="AB724" s="1"/>
      <c r="AC724" s="1"/>
      <c r="AD724" s="1"/>
      <c r="AE724" s="1" t="s">
        <v>3754</v>
      </c>
      <c r="AF724" s="1" t="s">
        <v>9</v>
      </c>
      <c r="AG724" s="4">
        <v>28</v>
      </c>
      <c r="AH724" s="1"/>
      <c r="AI724" s="6">
        <v>44926</v>
      </c>
    </row>
    <row r="725" spans="1:35" x14ac:dyDescent="0.3">
      <c r="A725" s="1" t="s">
        <v>1595</v>
      </c>
      <c r="B725" s="2" t="str">
        <f>HYPERLINK("https://my.zakupki.prom.ua/remote/dispatcher/state_purchase_view/34684893")</f>
        <v>https://my.zakupki.prom.ua/remote/dispatcher/state_purchase_view/34684893</v>
      </c>
      <c r="C725" s="1" t="s">
        <v>3412</v>
      </c>
      <c r="D725" s="1" t="s">
        <v>1181</v>
      </c>
      <c r="E725" s="4">
        <v>24</v>
      </c>
      <c r="F725" s="5">
        <v>916.67</v>
      </c>
      <c r="G725" s="1" t="s">
        <v>4940</v>
      </c>
      <c r="H725" s="1" t="s">
        <v>327</v>
      </c>
      <c r="I725" s="1" t="s">
        <v>2800</v>
      </c>
      <c r="J725" s="5">
        <v>22000</v>
      </c>
      <c r="K725" s="1" t="s">
        <v>3394</v>
      </c>
      <c r="L725" s="5">
        <v>110</v>
      </c>
      <c r="M725" s="1" t="s">
        <v>2308</v>
      </c>
      <c r="N725" s="1" t="s">
        <v>3983</v>
      </c>
      <c r="O725" s="1" t="s">
        <v>2521</v>
      </c>
      <c r="P725" s="1" t="s">
        <v>2762</v>
      </c>
      <c r="Q725" s="1" t="s">
        <v>3035</v>
      </c>
      <c r="R725" s="1" t="s">
        <v>4504</v>
      </c>
      <c r="S725" s="1" t="s">
        <v>4937</v>
      </c>
      <c r="T725" s="6">
        <v>44593</v>
      </c>
      <c r="U725" s="6">
        <v>44599</v>
      </c>
      <c r="V725" s="7">
        <v>0</v>
      </c>
      <c r="W725" s="6">
        <v>44602</v>
      </c>
      <c r="X725" s="7">
        <v>0</v>
      </c>
      <c r="Y725" s="1" t="s">
        <v>4860</v>
      </c>
      <c r="Z725" s="5">
        <v>119</v>
      </c>
      <c r="AA725" s="1" t="s">
        <v>3403</v>
      </c>
      <c r="AB725" s="1"/>
      <c r="AC725" s="1"/>
      <c r="AD725" s="1"/>
      <c r="AE725" s="1" t="s">
        <v>3733</v>
      </c>
      <c r="AF725" s="1" t="s">
        <v>9</v>
      </c>
      <c r="AG725" s="4">
        <v>1</v>
      </c>
      <c r="AH725" s="1"/>
      <c r="AI725" s="6">
        <v>44926</v>
      </c>
    </row>
    <row r="726" spans="1:35" x14ac:dyDescent="0.3">
      <c r="A726" s="1" t="s">
        <v>1592</v>
      </c>
      <c r="B726" s="2" t="str">
        <f>HYPERLINK("https://my.zakupki.prom.ua/remote/dispatcher/state_purchase_view/34684796")</f>
        <v>https://my.zakupki.prom.ua/remote/dispatcher/state_purchase_view/34684796</v>
      </c>
      <c r="C726" s="1" t="s">
        <v>2405</v>
      </c>
      <c r="D726" s="1" t="s">
        <v>376</v>
      </c>
      <c r="E726" s="4">
        <v>1000</v>
      </c>
      <c r="F726" s="5">
        <v>34</v>
      </c>
      <c r="G726" s="1" t="s">
        <v>4908</v>
      </c>
      <c r="H726" s="1" t="s">
        <v>940</v>
      </c>
      <c r="I726" s="1" t="s">
        <v>3147</v>
      </c>
      <c r="J726" s="5">
        <v>34000</v>
      </c>
      <c r="K726" s="1" t="s">
        <v>3394</v>
      </c>
      <c r="L726" s="5">
        <v>170</v>
      </c>
      <c r="M726" s="1" t="s">
        <v>2308</v>
      </c>
      <c r="N726" s="1" t="s">
        <v>3983</v>
      </c>
      <c r="O726" s="1" t="s">
        <v>2521</v>
      </c>
      <c r="P726" s="1" t="s">
        <v>3956</v>
      </c>
      <c r="Q726" s="1" t="s">
        <v>3992</v>
      </c>
      <c r="R726" s="1" t="s">
        <v>4208</v>
      </c>
      <c r="S726" s="1" t="s">
        <v>4937</v>
      </c>
      <c r="T726" s="6">
        <v>44593</v>
      </c>
      <c r="U726" s="6">
        <v>44597</v>
      </c>
      <c r="V726" s="7">
        <v>0</v>
      </c>
      <c r="W726" s="6">
        <v>44601</v>
      </c>
      <c r="X726" s="7">
        <v>0</v>
      </c>
      <c r="Y726" s="1" t="s">
        <v>4860</v>
      </c>
      <c r="Z726" s="5">
        <v>119</v>
      </c>
      <c r="AA726" s="1" t="s">
        <v>3403</v>
      </c>
      <c r="AB726" s="1"/>
      <c r="AC726" s="1"/>
      <c r="AD726" s="1"/>
      <c r="AE726" s="1" t="s">
        <v>3795</v>
      </c>
      <c r="AF726" s="1" t="s">
        <v>9</v>
      </c>
      <c r="AG726" s="4">
        <v>2</v>
      </c>
      <c r="AH726" s="1"/>
      <c r="AI726" s="6">
        <v>44610</v>
      </c>
    </row>
    <row r="727" spans="1:35" x14ac:dyDescent="0.3">
      <c r="A727" s="1" t="s">
        <v>1575</v>
      </c>
      <c r="B727" s="2" t="str">
        <f>HYPERLINK("https://my.zakupki.prom.ua/remote/dispatcher/state_purchase_view/34684792")</f>
        <v>https://my.zakupki.prom.ua/remote/dispatcher/state_purchase_view/34684792</v>
      </c>
      <c r="C727" s="1" t="s">
        <v>3066</v>
      </c>
      <c r="D727" s="1" t="s">
        <v>701</v>
      </c>
      <c r="E727" s="4">
        <v>10</v>
      </c>
      <c r="F727" s="5">
        <v>600</v>
      </c>
      <c r="G727" s="1" t="s">
        <v>4989</v>
      </c>
      <c r="H727" s="1" t="s">
        <v>1040</v>
      </c>
      <c r="I727" s="1" t="s">
        <v>3082</v>
      </c>
      <c r="J727" s="5">
        <v>6000</v>
      </c>
      <c r="K727" s="1" t="s">
        <v>3394</v>
      </c>
      <c r="L727" s="5">
        <v>30</v>
      </c>
      <c r="M727" s="1" t="s">
        <v>2308</v>
      </c>
      <c r="N727" s="1" t="s">
        <v>3983</v>
      </c>
      <c r="O727" s="1" t="s">
        <v>2521</v>
      </c>
      <c r="P727" s="1" t="s">
        <v>2762</v>
      </c>
      <c r="Q727" s="1" t="s">
        <v>2761</v>
      </c>
      <c r="R727" s="1" t="s">
        <v>4315</v>
      </c>
      <c r="S727" s="1" t="s">
        <v>4937</v>
      </c>
      <c r="T727" s="6">
        <v>44593</v>
      </c>
      <c r="U727" s="6">
        <v>44599</v>
      </c>
      <c r="V727" s="7">
        <v>0</v>
      </c>
      <c r="W727" s="6">
        <v>44601</v>
      </c>
      <c r="X727" s="7">
        <v>0.75</v>
      </c>
      <c r="Y727" s="1" t="s">
        <v>4860</v>
      </c>
      <c r="Z727" s="5">
        <v>17</v>
      </c>
      <c r="AA727" s="1" t="s">
        <v>3403</v>
      </c>
      <c r="AB727" s="1"/>
      <c r="AC727" s="1"/>
      <c r="AD727" s="1"/>
      <c r="AE727" s="1" t="s">
        <v>3795</v>
      </c>
      <c r="AF727" s="1" t="s">
        <v>9</v>
      </c>
      <c r="AG727" s="4">
        <v>2</v>
      </c>
      <c r="AH727" s="1"/>
      <c r="AI727" s="6">
        <v>44712</v>
      </c>
    </row>
    <row r="728" spans="1:35" x14ac:dyDescent="0.3">
      <c r="A728" s="1" t="s">
        <v>1366</v>
      </c>
      <c r="B728" s="2" t="str">
        <f>HYPERLINK("https://my.zakupki.prom.ua/remote/dispatcher/state_purchase_view/34684789")</f>
        <v>https://my.zakupki.prom.ua/remote/dispatcher/state_purchase_view/34684789</v>
      </c>
      <c r="C728" s="1" t="s">
        <v>2398</v>
      </c>
      <c r="D728" s="1" t="s">
        <v>376</v>
      </c>
      <c r="E728" s="4">
        <v>2000</v>
      </c>
      <c r="F728" s="5">
        <v>30</v>
      </c>
      <c r="G728" s="1" t="s">
        <v>4908</v>
      </c>
      <c r="H728" s="1" t="s">
        <v>641</v>
      </c>
      <c r="I728" s="1" t="s">
        <v>3326</v>
      </c>
      <c r="J728" s="5">
        <v>60000</v>
      </c>
      <c r="K728" s="1" t="s">
        <v>3394</v>
      </c>
      <c r="L728" s="5">
        <v>600</v>
      </c>
      <c r="M728" s="1" t="s">
        <v>2308</v>
      </c>
      <c r="N728" s="1" t="s">
        <v>3983</v>
      </c>
      <c r="O728" s="1" t="s">
        <v>2521</v>
      </c>
      <c r="P728" s="1" t="s">
        <v>3956</v>
      </c>
      <c r="Q728" s="1" t="s">
        <v>2820</v>
      </c>
      <c r="R728" s="1" t="s">
        <v>4569</v>
      </c>
      <c r="S728" s="1" t="s">
        <v>4937</v>
      </c>
      <c r="T728" s="6">
        <v>44593</v>
      </c>
      <c r="U728" s="6">
        <v>44599</v>
      </c>
      <c r="V728" s="7">
        <v>0</v>
      </c>
      <c r="W728" s="6">
        <v>44602</v>
      </c>
      <c r="X728" s="7">
        <v>0</v>
      </c>
      <c r="Y728" s="1" t="s">
        <v>4860</v>
      </c>
      <c r="Z728" s="5">
        <v>340</v>
      </c>
      <c r="AA728" s="1" t="s">
        <v>3403</v>
      </c>
      <c r="AB728" s="1"/>
      <c r="AC728" s="1"/>
      <c r="AD728" s="1"/>
      <c r="AE728" s="1" t="s">
        <v>3764</v>
      </c>
      <c r="AF728" s="1" t="s">
        <v>9</v>
      </c>
      <c r="AG728" s="1" t="s">
        <v>9</v>
      </c>
      <c r="AH728" s="1"/>
      <c r="AI728" s="6">
        <v>44926</v>
      </c>
    </row>
    <row r="729" spans="1:35" x14ac:dyDescent="0.3">
      <c r="A729" s="1" t="s">
        <v>1976</v>
      </c>
      <c r="B729" s="2" t="str">
        <f>HYPERLINK("https://my.zakupki.prom.ua/remote/dispatcher/state_purchase_view/34683971")</f>
        <v>https://my.zakupki.prom.ua/remote/dispatcher/state_purchase_view/34683971</v>
      </c>
      <c r="C729" s="1" t="s">
        <v>3417</v>
      </c>
      <c r="D729" s="1" t="s">
        <v>222</v>
      </c>
      <c r="E729" s="1" t="s">
        <v>4903</v>
      </c>
      <c r="F729" s="1" t="s">
        <v>4903</v>
      </c>
      <c r="G729" s="1" t="s">
        <v>4903</v>
      </c>
      <c r="H729" s="1" t="s">
        <v>1008</v>
      </c>
      <c r="I729" s="1" t="s">
        <v>2481</v>
      </c>
      <c r="J729" s="5">
        <v>159035</v>
      </c>
      <c r="K729" s="1" t="s">
        <v>3394</v>
      </c>
      <c r="L729" s="5">
        <v>795.18</v>
      </c>
      <c r="M729" s="1" t="s">
        <v>2308</v>
      </c>
      <c r="N729" s="1" t="s">
        <v>3983</v>
      </c>
      <c r="O729" s="1" t="s">
        <v>2521</v>
      </c>
      <c r="P729" s="1" t="s">
        <v>3956</v>
      </c>
      <c r="Q729" s="1" t="s">
        <v>2756</v>
      </c>
      <c r="R729" s="1" t="s">
        <v>4081</v>
      </c>
      <c r="S729" s="1" t="s">
        <v>4937</v>
      </c>
      <c r="T729" s="6">
        <v>44593</v>
      </c>
      <c r="U729" s="6">
        <v>44599</v>
      </c>
      <c r="V729" s="7">
        <v>0</v>
      </c>
      <c r="W729" s="6">
        <v>44602</v>
      </c>
      <c r="X729" s="7">
        <v>0</v>
      </c>
      <c r="Y729" s="1" t="s">
        <v>4860</v>
      </c>
      <c r="Z729" s="5">
        <v>340</v>
      </c>
      <c r="AA729" s="1" t="s">
        <v>3403</v>
      </c>
      <c r="AB729" s="1"/>
      <c r="AC729" s="1"/>
      <c r="AD729" s="1"/>
      <c r="AE729" s="1" t="s">
        <v>3765</v>
      </c>
      <c r="AF729" s="1" t="s">
        <v>9</v>
      </c>
      <c r="AG729" s="4">
        <v>2</v>
      </c>
      <c r="AH729" s="1"/>
      <c r="AI729" s="6">
        <v>44926</v>
      </c>
    </row>
    <row r="730" spans="1:35" x14ac:dyDescent="0.3">
      <c r="A730" s="1" t="s">
        <v>1589</v>
      </c>
      <c r="B730" s="2" t="str">
        <f>HYPERLINK("https://my.zakupki.prom.ua/remote/dispatcher/state_purchase_view/34684772")</f>
        <v>https://my.zakupki.prom.ua/remote/dispatcher/state_purchase_view/34684772</v>
      </c>
      <c r="C730" s="1" t="s">
        <v>3475</v>
      </c>
      <c r="D730" s="1" t="s">
        <v>373</v>
      </c>
      <c r="E730" s="1" t="s">
        <v>4903</v>
      </c>
      <c r="F730" s="1" t="s">
        <v>4903</v>
      </c>
      <c r="G730" s="1" t="s">
        <v>4903</v>
      </c>
      <c r="H730" s="1" t="s">
        <v>359</v>
      </c>
      <c r="I730" s="1" t="s">
        <v>2724</v>
      </c>
      <c r="J730" s="5">
        <v>73280.2</v>
      </c>
      <c r="K730" s="1" t="s">
        <v>3394</v>
      </c>
      <c r="L730" s="5">
        <v>732.8</v>
      </c>
      <c r="M730" s="1" t="s">
        <v>2308</v>
      </c>
      <c r="N730" s="1" t="s">
        <v>3983</v>
      </c>
      <c r="O730" s="1" t="s">
        <v>2521</v>
      </c>
      <c r="P730" s="1" t="s">
        <v>3956</v>
      </c>
      <c r="Q730" s="1" t="s">
        <v>3035</v>
      </c>
      <c r="R730" s="1" t="s">
        <v>4553</v>
      </c>
      <c r="S730" s="1" t="s">
        <v>4937</v>
      </c>
      <c r="T730" s="6">
        <v>44593</v>
      </c>
      <c r="U730" s="6">
        <v>44599</v>
      </c>
      <c r="V730" s="7">
        <v>0.66736111111111107</v>
      </c>
      <c r="W730" s="6">
        <v>44602</v>
      </c>
      <c r="X730" s="7">
        <v>0.5</v>
      </c>
      <c r="Y730" s="1" t="s">
        <v>4860</v>
      </c>
      <c r="Z730" s="5">
        <v>340</v>
      </c>
      <c r="AA730" s="1" t="s">
        <v>3403</v>
      </c>
      <c r="AB730" s="1"/>
      <c r="AC730" s="1"/>
      <c r="AD730" s="1"/>
      <c r="AE730" s="1" t="s">
        <v>3772</v>
      </c>
      <c r="AF730" s="1" t="s">
        <v>9</v>
      </c>
      <c r="AG730" s="1" t="s">
        <v>9</v>
      </c>
      <c r="AH730" s="1"/>
      <c r="AI730" s="6">
        <v>44926</v>
      </c>
    </row>
    <row r="731" spans="1:35" x14ac:dyDescent="0.3">
      <c r="A731" s="1" t="s">
        <v>1590</v>
      </c>
      <c r="B731" s="2" t="str">
        <f>HYPERLINK("https://my.zakupki.prom.ua/remote/dispatcher/state_purchase_view/34684763")</f>
        <v>https://my.zakupki.prom.ua/remote/dispatcher/state_purchase_view/34684763</v>
      </c>
      <c r="C731" s="1" t="s">
        <v>3514</v>
      </c>
      <c r="D731" s="1" t="s">
        <v>1207</v>
      </c>
      <c r="E731" s="4">
        <v>1</v>
      </c>
      <c r="F731" s="5">
        <v>183701.16</v>
      </c>
      <c r="G731" s="1" t="s">
        <v>4940</v>
      </c>
      <c r="H731" s="1" t="s">
        <v>142</v>
      </c>
      <c r="I731" s="1" t="s">
        <v>2482</v>
      </c>
      <c r="J731" s="5">
        <v>183701.16</v>
      </c>
      <c r="K731" s="1" t="s">
        <v>3394</v>
      </c>
      <c r="L731" s="5">
        <v>1837.01</v>
      </c>
      <c r="M731" s="1" t="s">
        <v>2308</v>
      </c>
      <c r="N731" s="1" t="s">
        <v>3983</v>
      </c>
      <c r="O731" s="1" t="s">
        <v>2521</v>
      </c>
      <c r="P731" s="1" t="s">
        <v>3956</v>
      </c>
      <c r="Q731" s="1" t="s">
        <v>2820</v>
      </c>
      <c r="R731" s="1" t="s">
        <v>4663</v>
      </c>
      <c r="S731" s="1" t="s">
        <v>4937</v>
      </c>
      <c r="T731" s="6">
        <v>44593</v>
      </c>
      <c r="U731" s="6">
        <v>44599</v>
      </c>
      <c r="V731" s="7">
        <v>0.41666666666666669</v>
      </c>
      <c r="W731" s="6">
        <v>44602</v>
      </c>
      <c r="X731" s="7">
        <v>0.41666666666666669</v>
      </c>
      <c r="Y731" s="1" t="s">
        <v>4860</v>
      </c>
      <c r="Z731" s="5">
        <v>340</v>
      </c>
      <c r="AA731" s="1" t="s">
        <v>3403</v>
      </c>
      <c r="AB731" s="1"/>
      <c r="AC731" s="1"/>
      <c r="AD731" s="1"/>
      <c r="AE731" s="1" t="s">
        <v>3743</v>
      </c>
      <c r="AF731" s="1" t="s">
        <v>9</v>
      </c>
      <c r="AG731" s="4">
        <v>3</v>
      </c>
      <c r="AH731" s="1"/>
      <c r="AI731" s="6">
        <v>44926</v>
      </c>
    </row>
    <row r="732" spans="1:35" x14ac:dyDescent="0.3">
      <c r="A732" s="1" t="s">
        <v>1975</v>
      </c>
      <c r="B732" s="2" t="str">
        <f>HYPERLINK("https://my.zakupki.prom.ua/remote/dispatcher/state_purchase_view/34684760")</f>
        <v>https://my.zakupki.prom.ua/remote/dispatcher/state_purchase_view/34684760</v>
      </c>
      <c r="C732" s="1" t="s">
        <v>3603</v>
      </c>
      <c r="D732" s="1" t="s">
        <v>1199</v>
      </c>
      <c r="E732" s="4">
        <v>1</v>
      </c>
      <c r="F732" s="5">
        <v>100000</v>
      </c>
      <c r="G732" s="1" t="s">
        <v>4940</v>
      </c>
      <c r="H732" s="1" t="s">
        <v>288</v>
      </c>
      <c r="I732" s="1" t="s">
        <v>2483</v>
      </c>
      <c r="J732" s="5">
        <v>100000</v>
      </c>
      <c r="K732" s="1" t="s">
        <v>3394</v>
      </c>
      <c r="L732" s="5">
        <v>500</v>
      </c>
      <c r="M732" s="1" t="s">
        <v>2308</v>
      </c>
      <c r="N732" s="1" t="s">
        <v>3983</v>
      </c>
      <c r="O732" s="1" t="s">
        <v>2521</v>
      </c>
      <c r="P732" s="1" t="s">
        <v>3956</v>
      </c>
      <c r="Q732" s="1" t="s">
        <v>4805</v>
      </c>
      <c r="R732" s="1" t="s">
        <v>4128</v>
      </c>
      <c r="S732" s="1" t="s">
        <v>4937</v>
      </c>
      <c r="T732" s="6">
        <v>44593</v>
      </c>
      <c r="U732" s="6">
        <v>44599</v>
      </c>
      <c r="V732" s="7">
        <v>0.49930555555555556</v>
      </c>
      <c r="W732" s="6">
        <v>44602</v>
      </c>
      <c r="X732" s="7">
        <v>6.9444444444444447E-4</v>
      </c>
      <c r="Y732" s="1" t="s">
        <v>4860</v>
      </c>
      <c r="Z732" s="5">
        <v>340</v>
      </c>
      <c r="AA732" s="1" t="s">
        <v>3403</v>
      </c>
      <c r="AB732" s="1"/>
      <c r="AC732" s="1"/>
      <c r="AD732" s="1"/>
      <c r="AE732" s="1" t="s">
        <v>3741</v>
      </c>
      <c r="AF732" s="1" t="s">
        <v>9</v>
      </c>
      <c r="AG732" s="1" t="s">
        <v>9</v>
      </c>
      <c r="AH732" s="6">
        <v>44613</v>
      </c>
      <c r="AI732" s="6">
        <v>44926</v>
      </c>
    </row>
    <row r="733" spans="1:35" x14ac:dyDescent="0.3">
      <c r="A733" s="1" t="s">
        <v>1578</v>
      </c>
      <c r="B733" s="2" t="str">
        <f>HYPERLINK("https://my.zakupki.prom.ua/remote/dispatcher/state_purchase_view/34684744")</f>
        <v>https://my.zakupki.prom.ua/remote/dispatcher/state_purchase_view/34684744</v>
      </c>
      <c r="C733" s="1" t="s">
        <v>1142</v>
      </c>
      <c r="D733" s="1" t="s">
        <v>1144</v>
      </c>
      <c r="E733" s="4">
        <v>1</v>
      </c>
      <c r="F733" s="5">
        <v>260754</v>
      </c>
      <c r="G733" s="1" t="s">
        <v>4940</v>
      </c>
      <c r="H733" s="1" t="s">
        <v>656</v>
      </c>
      <c r="I733" s="1" t="s">
        <v>3931</v>
      </c>
      <c r="J733" s="5">
        <v>260754</v>
      </c>
      <c r="K733" s="1" t="s">
        <v>3394</v>
      </c>
      <c r="L733" s="5">
        <v>1303.77</v>
      </c>
      <c r="M733" s="1" t="s">
        <v>2308</v>
      </c>
      <c r="N733" s="1" t="s">
        <v>3983</v>
      </c>
      <c r="O733" s="1" t="s">
        <v>1239</v>
      </c>
      <c r="P733" s="1" t="s">
        <v>2515</v>
      </c>
      <c r="Q733" s="1" t="s">
        <v>2756</v>
      </c>
      <c r="R733" s="1" t="s">
        <v>4262</v>
      </c>
      <c r="S733" s="1" t="s">
        <v>4971</v>
      </c>
      <c r="T733" s="6">
        <v>44593</v>
      </c>
      <c r="U733" s="6">
        <v>44593</v>
      </c>
      <c r="V733" s="7">
        <v>0.49148809194444448</v>
      </c>
      <c r="W733" s="6">
        <v>44610</v>
      </c>
      <c r="X733" s="7">
        <v>0.70833333333333337</v>
      </c>
      <c r="Y733" s="8">
        <v>44613.607951388891</v>
      </c>
      <c r="Z733" s="5">
        <v>510</v>
      </c>
      <c r="AA733" s="1" t="s">
        <v>3403</v>
      </c>
      <c r="AB733" s="1"/>
      <c r="AC733" s="1"/>
      <c r="AD733" s="1"/>
      <c r="AE733" s="1" t="s">
        <v>3750</v>
      </c>
      <c r="AF733" s="1" t="s">
        <v>9</v>
      </c>
      <c r="AG733" s="4">
        <v>147</v>
      </c>
      <c r="AH733" s="1"/>
      <c r="AI733" s="6">
        <v>44926</v>
      </c>
    </row>
    <row r="734" spans="1:35" x14ac:dyDescent="0.3">
      <c r="A734" s="1" t="s">
        <v>1965</v>
      </c>
      <c r="B734" s="2" t="str">
        <f>HYPERLINK("https://my.zakupki.prom.ua/remote/dispatcher/state_purchase_view/34684673")</f>
        <v>https://my.zakupki.prom.ua/remote/dispatcher/state_purchase_view/34684673</v>
      </c>
      <c r="C734" s="1" t="s">
        <v>4910</v>
      </c>
      <c r="D734" s="1" t="s">
        <v>442</v>
      </c>
      <c r="E734" s="1" t="s">
        <v>4903</v>
      </c>
      <c r="F734" s="1" t="s">
        <v>4903</v>
      </c>
      <c r="G734" s="1" t="s">
        <v>4903</v>
      </c>
      <c r="H734" s="1" t="s">
        <v>429</v>
      </c>
      <c r="I734" s="1" t="s">
        <v>3430</v>
      </c>
      <c r="J734" s="5">
        <v>143360</v>
      </c>
      <c r="K734" s="1" t="s">
        <v>3394</v>
      </c>
      <c r="L734" s="5">
        <v>1433.6</v>
      </c>
      <c r="M734" s="1" t="s">
        <v>2308</v>
      </c>
      <c r="N734" s="1" t="s">
        <v>3983</v>
      </c>
      <c r="O734" s="1" t="s">
        <v>1051</v>
      </c>
      <c r="P734" s="1" t="s">
        <v>2515</v>
      </c>
      <c r="Q734" s="1" t="s">
        <v>3035</v>
      </c>
      <c r="R734" s="1" t="s">
        <v>4167</v>
      </c>
      <c r="S734" s="1" t="s">
        <v>4971</v>
      </c>
      <c r="T734" s="6">
        <v>44593</v>
      </c>
      <c r="U734" s="6">
        <v>44593</v>
      </c>
      <c r="V734" s="7">
        <v>0.49940972222222224</v>
      </c>
      <c r="W734" s="6">
        <v>44610</v>
      </c>
      <c r="X734" s="7">
        <v>0</v>
      </c>
      <c r="Y734" s="8">
        <v>44610.665486111109</v>
      </c>
      <c r="Z734" s="5">
        <v>340</v>
      </c>
      <c r="AA734" s="1" t="s">
        <v>3403</v>
      </c>
      <c r="AB734" s="1"/>
      <c r="AC734" s="1"/>
      <c r="AD734" s="1"/>
      <c r="AE734" s="1" t="s">
        <v>3787</v>
      </c>
      <c r="AF734" s="1" t="s">
        <v>9</v>
      </c>
      <c r="AG734" s="4">
        <v>93</v>
      </c>
      <c r="AH734" s="1"/>
      <c r="AI734" s="6">
        <v>44926</v>
      </c>
    </row>
    <row r="735" spans="1:35" x14ac:dyDescent="0.3">
      <c r="A735" s="1" t="s">
        <v>1594</v>
      </c>
      <c r="B735" s="2" t="str">
        <f>HYPERLINK("https://my.zakupki.prom.ua/remote/dispatcher/state_purchase_view/34684659")</f>
        <v>https://my.zakupki.prom.ua/remote/dispatcher/state_purchase_view/34684659</v>
      </c>
      <c r="C735" s="1" t="s">
        <v>2667</v>
      </c>
      <c r="D735" s="1" t="s">
        <v>208</v>
      </c>
      <c r="E735" s="1" t="s">
        <v>4903</v>
      </c>
      <c r="F735" s="1" t="s">
        <v>4903</v>
      </c>
      <c r="G735" s="1" t="s">
        <v>4903</v>
      </c>
      <c r="H735" s="1" t="s">
        <v>305</v>
      </c>
      <c r="I735" s="1" t="s">
        <v>2701</v>
      </c>
      <c r="J735" s="5">
        <v>118000</v>
      </c>
      <c r="K735" s="1" t="s">
        <v>3394</v>
      </c>
      <c r="L735" s="5">
        <v>1180</v>
      </c>
      <c r="M735" s="1" t="s">
        <v>2308</v>
      </c>
      <c r="N735" s="1" t="s">
        <v>3983</v>
      </c>
      <c r="O735" s="1" t="s">
        <v>2521</v>
      </c>
      <c r="P735" s="1" t="s">
        <v>3956</v>
      </c>
      <c r="Q735" s="1" t="s">
        <v>4798</v>
      </c>
      <c r="R735" s="1" t="s">
        <v>4081</v>
      </c>
      <c r="S735" s="1" t="s">
        <v>4937</v>
      </c>
      <c r="T735" s="6">
        <v>44593</v>
      </c>
      <c r="U735" s="6">
        <v>44599</v>
      </c>
      <c r="V735" s="7">
        <v>0</v>
      </c>
      <c r="W735" s="6">
        <v>44602</v>
      </c>
      <c r="X735" s="7">
        <v>0</v>
      </c>
      <c r="Y735" s="1" t="s">
        <v>4860</v>
      </c>
      <c r="Z735" s="5">
        <v>340</v>
      </c>
      <c r="AA735" s="1" t="s">
        <v>3403</v>
      </c>
      <c r="AB735" s="1"/>
      <c r="AC735" s="1"/>
      <c r="AD735" s="1"/>
      <c r="AE735" s="1" t="s">
        <v>3765</v>
      </c>
      <c r="AF735" s="1" t="s">
        <v>9</v>
      </c>
      <c r="AG735" s="4">
        <v>3</v>
      </c>
      <c r="AH735" s="1"/>
      <c r="AI735" s="6">
        <v>44926</v>
      </c>
    </row>
    <row r="736" spans="1:35" x14ac:dyDescent="0.3">
      <c r="A736" s="1" t="s">
        <v>1591</v>
      </c>
      <c r="B736" s="2" t="str">
        <f>HYPERLINK("https://my.zakupki.prom.ua/remote/dispatcher/state_purchase_view/34684653")</f>
        <v>https://my.zakupki.prom.ua/remote/dispatcher/state_purchase_view/34684653</v>
      </c>
      <c r="C736" s="1" t="s">
        <v>4856</v>
      </c>
      <c r="D736" s="1" t="s">
        <v>213</v>
      </c>
      <c r="E736" s="1" t="s">
        <v>4903</v>
      </c>
      <c r="F736" s="1" t="s">
        <v>4903</v>
      </c>
      <c r="G736" s="1" t="s">
        <v>4903</v>
      </c>
      <c r="H736" s="1" t="s">
        <v>591</v>
      </c>
      <c r="I736" s="1" t="s">
        <v>3251</v>
      </c>
      <c r="J736" s="5">
        <v>64330</v>
      </c>
      <c r="K736" s="1" t="s">
        <v>3394</v>
      </c>
      <c r="L736" s="5">
        <v>324</v>
      </c>
      <c r="M736" s="1" t="s">
        <v>2308</v>
      </c>
      <c r="N736" s="1" t="s">
        <v>3983</v>
      </c>
      <c r="O736" s="1" t="s">
        <v>2521</v>
      </c>
      <c r="P736" s="1" t="s">
        <v>3956</v>
      </c>
      <c r="Q736" s="1" t="s">
        <v>4805</v>
      </c>
      <c r="R736" s="1" t="s">
        <v>4485</v>
      </c>
      <c r="S736" s="1" t="s">
        <v>4937</v>
      </c>
      <c r="T736" s="6">
        <v>44593</v>
      </c>
      <c r="U736" s="6">
        <v>44599</v>
      </c>
      <c r="V736" s="7">
        <v>0.5</v>
      </c>
      <c r="W736" s="6">
        <v>44602</v>
      </c>
      <c r="X736" s="7">
        <v>0.5</v>
      </c>
      <c r="Y736" s="1" t="s">
        <v>4860</v>
      </c>
      <c r="Z736" s="5">
        <v>340</v>
      </c>
      <c r="AA736" s="1" t="s">
        <v>3403</v>
      </c>
      <c r="AB736" s="1"/>
      <c r="AC736" s="1"/>
      <c r="AD736" s="1"/>
      <c r="AE736" s="1" t="s">
        <v>3772</v>
      </c>
      <c r="AF736" s="1" t="s">
        <v>9</v>
      </c>
      <c r="AG736" s="1" t="s">
        <v>9</v>
      </c>
      <c r="AH736" s="1"/>
      <c r="AI736" s="6">
        <v>44926</v>
      </c>
    </row>
    <row r="737" spans="1:35" x14ac:dyDescent="0.3">
      <c r="A737" s="1" t="s">
        <v>1958</v>
      </c>
      <c r="B737" s="2" t="str">
        <f>HYPERLINK("https://my.zakupki.prom.ua/remote/dispatcher/state_purchase_view/34684472")</f>
        <v>https://my.zakupki.prom.ua/remote/dispatcher/state_purchase_view/34684472</v>
      </c>
      <c r="C737" s="1" t="s">
        <v>3621</v>
      </c>
      <c r="D737" s="1" t="s">
        <v>1286</v>
      </c>
      <c r="E737" s="4">
        <v>10000</v>
      </c>
      <c r="F737" s="5">
        <v>28</v>
      </c>
      <c r="G737" s="1" t="s">
        <v>4883</v>
      </c>
      <c r="H737" s="1" t="s">
        <v>926</v>
      </c>
      <c r="I737" s="1" t="s">
        <v>2729</v>
      </c>
      <c r="J737" s="5">
        <v>280000</v>
      </c>
      <c r="K737" s="1" t="s">
        <v>3394</v>
      </c>
      <c r="L737" s="5">
        <v>1400</v>
      </c>
      <c r="M737" s="1" t="s">
        <v>2308</v>
      </c>
      <c r="N737" s="1" t="s">
        <v>3983</v>
      </c>
      <c r="O737" s="1" t="s">
        <v>2521</v>
      </c>
      <c r="P737" s="1" t="s">
        <v>3956</v>
      </c>
      <c r="Q737" s="1" t="s">
        <v>4805</v>
      </c>
      <c r="R737" s="1" t="s">
        <v>4539</v>
      </c>
      <c r="S737" s="1" t="s">
        <v>4937</v>
      </c>
      <c r="T737" s="6">
        <v>44593</v>
      </c>
      <c r="U737" s="6">
        <v>44597</v>
      </c>
      <c r="V737" s="7">
        <v>0.49884259259259262</v>
      </c>
      <c r="W737" s="6">
        <v>44602</v>
      </c>
      <c r="X737" s="7">
        <v>0.49884259259259262</v>
      </c>
      <c r="Y737" s="1" t="s">
        <v>4860</v>
      </c>
      <c r="Z737" s="5">
        <v>510</v>
      </c>
      <c r="AA737" s="1" t="s">
        <v>3403</v>
      </c>
      <c r="AB737" s="1"/>
      <c r="AC737" s="1"/>
      <c r="AD737" s="1"/>
      <c r="AE737" s="1" t="s">
        <v>3737</v>
      </c>
      <c r="AF737" s="1" t="s">
        <v>9</v>
      </c>
      <c r="AG737" s="1" t="s">
        <v>9</v>
      </c>
      <c r="AH737" s="1"/>
      <c r="AI737" s="6">
        <v>44926</v>
      </c>
    </row>
    <row r="738" spans="1:35" x14ac:dyDescent="0.3">
      <c r="A738" s="1" t="s">
        <v>1586</v>
      </c>
      <c r="B738" s="2" t="str">
        <f>HYPERLINK("https://my.zakupki.prom.ua/remote/dispatcher/state_purchase_view/34684439")</f>
        <v>https://my.zakupki.prom.ua/remote/dispatcher/state_purchase_view/34684439</v>
      </c>
      <c r="C738" s="1" t="s">
        <v>3929</v>
      </c>
      <c r="D738" s="1" t="s">
        <v>1125</v>
      </c>
      <c r="E738" s="4">
        <v>900</v>
      </c>
      <c r="F738" s="5">
        <v>14.5</v>
      </c>
      <c r="G738" s="1" t="s">
        <v>4932</v>
      </c>
      <c r="H738" s="1" t="s">
        <v>636</v>
      </c>
      <c r="I738" s="1" t="s">
        <v>2991</v>
      </c>
      <c r="J738" s="5">
        <v>13050</v>
      </c>
      <c r="K738" s="1" t="s">
        <v>3394</v>
      </c>
      <c r="L738" s="5">
        <v>65.25</v>
      </c>
      <c r="M738" s="1" t="s">
        <v>2308</v>
      </c>
      <c r="N738" s="1" t="s">
        <v>3403</v>
      </c>
      <c r="O738" s="1" t="s">
        <v>2521</v>
      </c>
      <c r="P738" s="1" t="s">
        <v>3956</v>
      </c>
      <c r="Q738" s="1" t="s">
        <v>2756</v>
      </c>
      <c r="R738" s="1" t="s">
        <v>4543</v>
      </c>
      <c r="S738" s="1" t="s">
        <v>4937</v>
      </c>
      <c r="T738" s="6">
        <v>44593</v>
      </c>
      <c r="U738" s="6">
        <v>44599</v>
      </c>
      <c r="V738" s="7">
        <v>0</v>
      </c>
      <c r="W738" s="6">
        <v>44601</v>
      </c>
      <c r="X738" s="7">
        <v>0</v>
      </c>
      <c r="Y738" s="1" t="s">
        <v>4860</v>
      </c>
      <c r="Z738" s="5">
        <v>17</v>
      </c>
      <c r="AA738" s="1" t="s">
        <v>3403</v>
      </c>
      <c r="AB738" s="1"/>
      <c r="AC738" s="1"/>
      <c r="AD738" s="1"/>
      <c r="AE738" s="1" t="s">
        <v>3788</v>
      </c>
      <c r="AF738" s="1" t="s">
        <v>9</v>
      </c>
      <c r="AG738" s="4">
        <v>2</v>
      </c>
      <c r="AH738" s="1"/>
      <c r="AI738" s="6">
        <v>44926</v>
      </c>
    </row>
    <row r="739" spans="1:35" x14ac:dyDescent="0.3">
      <c r="A739" s="1" t="s">
        <v>1588</v>
      </c>
      <c r="B739" s="2" t="str">
        <f>HYPERLINK("https://my.zakupki.prom.ua/remote/dispatcher/state_purchase_view/34684436")</f>
        <v>https://my.zakupki.prom.ua/remote/dispatcher/state_purchase_view/34684436</v>
      </c>
      <c r="C739" s="1" t="s">
        <v>3218</v>
      </c>
      <c r="D739" s="1" t="s">
        <v>1023</v>
      </c>
      <c r="E739" s="1" t="s">
        <v>4903</v>
      </c>
      <c r="F739" s="1" t="s">
        <v>4903</v>
      </c>
      <c r="G739" s="1" t="s">
        <v>4903</v>
      </c>
      <c r="H739" s="1" t="s">
        <v>739</v>
      </c>
      <c r="I739" s="1" t="s">
        <v>3190</v>
      </c>
      <c r="J739" s="5">
        <v>15400</v>
      </c>
      <c r="K739" s="1" t="s">
        <v>3394</v>
      </c>
      <c r="L739" s="5">
        <v>77</v>
      </c>
      <c r="M739" s="1" t="s">
        <v>2308</v>
      </c>
      <c r="N739" s="1" t="s">
        <v>3983</v>
      </c>
      <c r="O739" s="1" t="s">
        <v>2521</v>
      </c>
      <c r="P739" s="1" t="s">
        <v>2762</v>
      </c>
      <c r="Q739" s="1" t="s">
        <v>3035</v>
      </c>
      <c r="R739" s="1" t="s">
        <v>4186</v>
      </c>
      <c r="S739" s="1" t="s">
        <v>4937</v>
      </c>
      <c r="T739" s="6">
        <v>44593</v>
      </c>
      <c r="U739" s="6">
        <v>44599</v>
      </c>
      <c r="V739" s="7">
        <v>0</v>
      </c>
      <c r="W739" s="6">
        <v>44602</v>
      </c>
      <c r="X739" s="7">
        <v>0.53125</v>
      </c>
      <c r="Y739" s="1" t="s">
        <v>4860</v>
      </c>
      <c r="Z739" s="5">
        <v>17</v>
      </c>
      <c r="AA739" s="1" t="s">
        <v>3403</v>
      </c>
      <c r="AB739" s="1"/>
      <c r="AC739" s="1"/>
      <c r="AD739" s="1"/>
      <c r="AE739" s="1" t="s">
        <v>3772</v>
      </c>
      <c r="AF739" s="1" t="s">
        <v>9</v>
      </c>
      <c r="AG739" s="4">
        <v>12</v>
      </c>
      <c r="AH739" s="1"/>
      <c r="AI739" s="6">
        <v>44712</v>
      </c>
    </row>
    <row r="740" spans="1:35" x14ac:dyDescent="0.3">
      <c r="A740" s="1" t="s">
        <v>1960</v>
      </c>
      <c r="B740" s="2" t="str">
        <f>HYPERLINK("https://my.zakupki.prom.ua/remote/dispatcher/state_purchase_view/34684435")</f>
        <v>https://my.zakupki.prom.ua/remote/dispatcher/state_purchase_view/34684435</v>
      </c>
      <c r="C740" s="1" t="s">
        <v>2604</v>
      </c>
      <c r="D740" s="1" t="s">
        <v>174</v>
      </c>
      <c r="E740" s="4">
        <v>27048</v>
      </c>
      <c r="F740" s="5">
        <v>3.8</v>
      </c>
      <c r="G740" s="1" t="s">
        <v>4989</v>
      </c>
      <c r="H740" s="1" t="s">
        <v>1054</v>
      </c>
      <c r="I740" s="1" t="s">
        <v>2505</v>
      </c>
      <c r="J740" s="5">
        <v>102780</v>
      </c>
      <c r="K740" s="1" t="s">
        <v>3394</v>
      </c>
      <c r="L740" s="5">
        <v>513.9</v>
      </c>
      <c r="M740" s="1" t="s">
        <v>2308</v>
      </c>
      <c r="N740" s="1" t="s">
        <v>3983</v>
      </c>
      <c r="O740" s="1" t="s">
        <v>2521</v>
      </c>
      <c r="P740" s="1" t="s">
        <v>3956</v>
      </c>
      <c r="Q740" s="1" t="s">
        <v>2528</v>
      </c>
      <c r="R740" s="1" t="s">
        <v>4586</v>
      </c>
      <c r="S740" s="1" t="s">
        <v>4937</v>
      </c>
      <c r="T740" s="6">
        <v>44593</v>
      </c>
      <c r="U740" s="6">
        <v>44599</v>
      </c>
      <c r="V740" s="7">
        <v>0.41666666666666669</v>
      </c>
      <c r="W740" s="6">
        <v>44602</v>
      </c>
      <c r="X740" s="7">
        <v>0.54166666666666663</v>
      </c>
      <c r="Y740" s="1" t="s">
        <v>4860</v>
      </c>
      <c r="Z740" s="5">
        <v>340</v>
      </c>
      <c r="AA740" s="1" t="s">
        <v>3403</v>
      </c>
      <c r="AB740" s="1"/>
      <c r="AC740" s="1"/>
      <c r="AD740" s="1"/>
      <c r="AE740" s="1" t="s">
        <v>3788</v>
      </c>
      <c r="AF740" s="1" t="s">
        <v>9</v>
      </c>
      <c r="AG740" s="4">
        <v>2</v>
      </c>
      <c r="AH740" s="1"/>
      <c r="AI740" s="6">
        <v>44926</v>
      </c>
    </row>
    <row r="741" spans="1:35" x14ac:dyDescent="0.3">
      <c r="A741" s="1" t="s">
        <v>1364</v>
      </c>
      <c r="B741" s="2" t="str">
        <f>HYPERLINK("https://my.zakupki.prom.ua/remote/dispatcher/state_purchase_view/34684425")</f>
        <v>https://my.zakupki.prom.ua/remote/dispatcher/state_purchase_view/34684425</v>
      </c>
      <c r="C741" s="1" t="s">
        <v>4777</v>
      </c>
      <c r="D741" s="1" t="s">
        <v>213</v>
      </c>
      <c r="E741" s="1" t="s">
        <v>4903</v>
      </c>
      <c r="F741" s="1" t="s">
        <v>4903</v>
      </c>
      <c r="G741" s="1" t="s">
        <v>4903</v>
      </c>
      <c r="H741" s="1" t="s">
        <v>577</v>
      </c>
      <c r="I741" s="1" t="s">
        <v>3664</v>
      </c>
      <c r="J741" s="5">
        <v>187201</v>
      </c>
      <c r="K741" s="1" t="s">
        <v>3394</v>
      </c>
      <c r="L741" s="5">
        <v>936.01</v>
      </c>
      <c r="M741" s="1" t="s">
        <v>2308</v>
      </c>
      <c r="N741" s="1" t="s">
        <v>3983</v>
      </c>
      <c r="O741" s="1" t="s">
        <v>2521</v>
      </c>
      <c r="P741" s="1" t="s">
        <v>3956</v>
      </c>
      <c r="Q741" s="1" t="s">
        <v>3264</v>
      </c>
      <c r="R741" s="1" t="s">
        <v>4318</v>
      </c>
      <c r="S741" s="1" t="s">
        <v>4937</v>
      </c>
      <c r="T741" s="6">
        <v>44593</v>
      </c>
      <c r="U741" s="6">
        <v>44599</v>
      </c>
      <c r="V741" s="7">
        <v>0.625</v>
      </c>
      <c r="W741" s="6">
        <v>44602</v>
      </c>
      <c r="X741" s="7">
        <v>0.75</v>
      </c>
      <c r="Y741" s="1" t="s">
        <v>4860</v>
      </c>
      <c r="Z741" s="5">
        <v>340</v>
      </c>
      <c r="AA741" s="1" t="s">
        <v>3403</v>
      </c>
      <c r="AB741" s="1"/>
      <c r="AC741" s="1"/>
      <c r="AD741" s="1"/>
      <c r="AE741" s="1" t="s">
        <v>3788</v>
      </c>
      <c r="AF741" s="1" t="s">
        <v>9</v>
      </c>
      <c r="AG741" s="4">
        <v>1</v>
      </c>
      <c r="AH741" s="1"/>
      <c r="AI741" s="6">
        <v>44926</v>
      </c>
    </row>
    <row r="742" spans="1:35" x14ac:dyDescent="0.3">
      <c r="A742" s="1" t="s">
        <v>1974</v>
      </c>
      <c r="B742" s="2" t="str">
        <f>HYPERLINK("https://my.zakupki.prom.ua/remote/dispatcher/state_purchase_view/34684395")</f>
        <v>https://my.zakupki.prom.ua/remote/dispatcher/state_purchase_view/34684395</v>
      </c>
      <c r="C742" s="1" t="s">
        <v>3585</v>
      </c>
      <c r="D742" s="1" t="s">
        <v>1176</v>
      </c>
      <c r="E742" s="4">
        <v>11</v>
      </c>
      <c r="F742" s="5">
        <v>15000</v>
      </c>
      <c r="G742" s="1" t="s">
        <v>4922</v>
      </c>
      <c r="H742" s="1" t="s">
        <v>169</v>
      </c>
      <c r="I742" s="1" t="s">
        <v>3359</v>
      </c>
      <c r="J742" s="5">
        <v>165000</v>
      </c>
      <c r="K742" s="1" t="s">
        <v>3394</v>
      </c>
      <c r="L742" s="5">
        <v>825</v>
      </c>
      <c r="M742" s="1" t="s">
        <v>2308</v>
      </c>
      <c r="N742" s="1" t="s">
        <v>3983</v>
      </c>
      <c r="O742" s="1" t="s">
        <v>2521</v>
      </c>
      <c r="P742" s="1" t="s">
        <v>3956</v>
      </c>
      <c r="Q742" s="1" t="s">
        <v>3035</v>
      </c>
      <c r="R742" s="1" t="s">
        <v>4429</v>
      </c>
      <c r="S742" s="1" t="s">
        <v>4937</v>
      </c>
      <c r="T742" s="6">
        <v>44593</v>
      </c>
      <c r="U742" s="6">
        <v>44599</v>
      </c>
      <c r="V742" s="7">
        <v>0</v>
      </c>
      <c r="W742" s="6">
        <v>44602</v>
      </c>
      <c r="X742" s="7">
        <v>0</v>
      </c>
      <c r="Y742" s="1" t="s">
        <v>4860</v>
      </c>
      <c r="Z742" s="5">
        <v>340</v>
      </c>
      <c r="AA742" s="1" t="s">
        <v>3403</v>
      </c>
      <c r="AB742" s="1"/>
      <c r="AC742" s="1"/>
      <c r="AD742" s="1"/>
      <c r="AE742" s="1" t="s">
        <v>3759</v>
      </c>
      <c r="AF742" s="1" t="s">
        <v>9</v>
      </c>
      <c r="AG742" s="4">
        <v>18</v>
      </c>
      <c r="AH742" s="1"/>
      <c r="AI742" s="6">
        <v>44922</v>
      </c>
    </row>
    <row r="743" spans="1:35" x14ac:dyDescent="0.3">
      <c r="A743" s="1" t="s">
        <v>1973</v>
      </c>
      <c r="B743" s="2" t="str">
        <f>HYPERLINK("https://my.zakupki.prom.ua/remote/dispatcher/state_purchase_view/34684378")</f>
        <v>https://my.zakupki.prom.ua/remote/dispatcher/state_purchase_view/34684378</v>
      </c>
      <c r="C743" s="1" t="s">
        <v>3858</v>
      </c>
      <c r="D743" s="1" t="s">
        <v>453</v>
      </c>
      <c r="E743" s="4">
        <v>950</v>
      </c>
      <c r="F743" s="5">
        <v>85.26</v>
      </c>
      <c r="G743" s="1" t="s">
        <v>4901</v>
      </c>
      <c r="H743" s="1" t="s">
        <v>1057</v>
      </c>
      <c r="I743" s="1" t="s">
        <v>2439</v>
      </c>
      <c r="J743" s="5">
        <v>81000</v>
      </c>
      <c r="K743" s="1" t="s">
        <v>3394</v>
      </c>
      <c r="L743" s="5">
        <v>405</v>
      </c>
      <c r="M743" s="1" t="s">
        <v>2308</v>
      </c>
      <c r="N743" s="1" t="s">
        <v>3983</v>
      </c>
      <c r="O743" s="1" t="s">
        <v>2521</v>
      </c>
      <c r="P743" s="1" t="s">
        <v>3956</v>
      </c>
      <c r="Q743" s="1" t="s">
        <v>4834</v>
      </c>
      <c r="R743" s="1" t="s">
        <v>4337</v>
      </c>
      <c r="S743" s="1" t="s">
        <v>4937</v>
      </c>
      <c r="T743" s="6">
        <v>44593</v>
      </c>
      <c r="U743" s="6">
        <v>44599</v>
      </c>
      <c r="V743" s="7">
        <v>0.33333333333333331</v>
      </c>
      <c r="W743" s="6">
        <v>44602</v>
      </c>
      <c r="X743" s="7">
        <v>0.54166666666666663</v>
      </c>
      <c r="Y743" s="1" t="s">
        <v>4860</v>
      </c>
      <c r="Z743" s="5">
        <v>340</v>
      </c>
      <c r="AA743" s="1" t="s">
        <v>3403</v>
      </c>
      <c r="AB743" s="1"/>
      <c r="AC743" s="1"/>
      <c r="AD743" s="1"/>
      <c r="AE743" s="1" t="s">
        <v>3801</v>
      </c>
      <c r="AF743" s="1" t="s">
        <v>9</v>
      </c>
      <c r="AG743" s="1" t="s">
        <v>9</v>
      </c>
      <c r="AH743" s="1"/>
      <c r="AI743" s="6">
        <v>44926</v>
      </c>
    </row>
    <row r="744" spans="1:35" x14ac:dyDescent="0.3">
      <c r="A744" s="1" t="s">
        <v>1972</v>
      </c>
      <c r="B744" s="2" t="str">
        <f>HYPERLINK("https://my.zakupki.prom.ua/remote/dispatcher/state_purchase_view/34684369")</f>
        <v>https://my.zakupki.prom.ua/remote/dispatcher/state_purchase_view/34684369</v>
      </c>
      <c r="C744" s="1" t="s">
        <v>3057</v>
      </c>
      <c r="D744" s="1" t="s">
        <v>1177</v>
      </c>
      <c r="E744" s="4">
        <v>1</v>
      </c>
      <c r="F744" s="5">
        <v>42000</v>
      </c>
      <c r="G744" s="1" t="s">
        <v>4940</v>
      </c>
      <c r="H744" s="1" t="s">
        <v>873</v>
      </c>
      <c r="I744" s="1" t="s">
        <v>3195</v>
      </c>
      <c r="J744" s="5">
        <v>42000</v>
      </c>
      <c r="K744" s="1" t="s">
        <v>3394</v>
      </c>
      <c r="L744" s="5">
        <v>420</v>
      </c>
      <c r="M744" s="1" t="s">
        <v>2308</v>
      </c>
      <c r="N744" s="1" t="s">
        <v>3983</v>
      </c>
      <c r="O744" s="1" t="s">
        <v>2521</v>
      </c>
      <c r="P744" s="1" t="s">
        <v>3956</v>
      </c>
      <c r="Q744" s="1" t="s">
        <v>2756</v>
      </c>
      <c r="R744" s="1" t="s">
        <v>4459</v>
      </c>
      <c r="S744" s="1" t="s">
        <v>4937</v>
      </c>
      <c r="T744" s="6">
        <v>44593</v>
      </c>
      <c r="U744" s="6">
        <v>44599</v>
      </c>
      <c r="V744" s="7">
        <v>0</v>
      </c>
      <c r="W744" s="6">
        <v>44602</v>
      </c>
      <c r="X744" s="7">
        <v>0</v>
      </c>
      <c r="Y744" s="1" t="s">
        <v>4860</v>
      </c>
      <c r="Z744" s="5">
        <v>119</v>
      </c>
      <c r="AA744" s="1" t="s">
        <v>3403</v>
      </c>
      <c r="AB744" s="1"/>
      <c r="AC744" s="1"/>
      <c r="AD744" s="1"/>
      <c r="AE744" s="1" t="s">
        <v>3741</v>
      </c>
      <c r="AF744" s="1" t="s">
        <v>9</v>
      </c>
      <c r="AG744" s="4">
        <v>5</v>
      </c>
      <c r="AH744" s="1"/>
      <c r="AI744" s="6">
        <v>44926</v>
      </c>
    </row>
    <row r="745" spans="1:35" x14ac:dyDescent="0.3">
      <c r="A745" s="1" t="s">
        <v>1970</v>
      </c>
      <c r="B745" s="2" t="str">
        <f>HYPERLINK("https://my.zakupki.prom.ua/remote/dispatcher/state_purchase_view/34684287")</f>
        <v>https://my.zakupki.prom.ua/remote/dispatcher/state_purchase_view/34684287</v>
      </c>
      <c r="C745" s="1" t="s">
        <v>3415</v>
      </c>
      <c r="D745" s="1" t="s">
        <v>213</v>
      </c>
      <c r="E745" s="4">
        <v>6352</v>
      </c>
      <c r="F745" s="5">
        <v>22.04</v>
      </c>
      <c r="G745" s="1" t="s">
        <v>4901</v>
      </c>
      <c r="H745" s="1" t="s">
        <v>1106</v>
      </c>
      <c r="I745" s="1" t="s">
        <v>4811</v>
      </c>
      <c r="J745" s="5">
        <v>140000</v>
      </c>
      <c r="K745" s="1" t="s">
        <v>3394</v>
      </c>
      <c r="L745" s="5">
        <v>700</v>
      </c>
      <c r="M745" s="1" t="s">
        <v>2308</v>
      </c>
      <c r="N745" s="1" t="s">
        <v>3983</v>
      </c>
      <c r="O745" s="1" t="s">
        <v>2521</v>
      </c>
      <c r="P745" s="1" t="s">
        <v>3956</v>
      </c>
      <c r="Q745" s="1" t="s">
        <v>2756</v>
      </c>
      <c r="R745" s="1" t="s">
        <v>4487</v>
      </c>
      <c r="S745" s="1" t="s">
        <v>4931</v>
      </c>
      <c r="T745" s="6">
        <v>44593</v>
      </c>
      <c r="U745" s="6">
        <v>44599</v>
      </c>
      <c r="V745" s="7">
        <v>0.49166666666666664</v>
      </c>
      <c r="W745" s="6">
        <v>44602</v>
      </c>
      <c r="X745" s="7">
        <v>0.49166666666666664</v>
      </c>
      <c r="Y745" s="1" t="s">
        <v>4860</v>
      </c>
      <c r="Z745" s="5">
        <v>340</v>
      </c>
      <c r="AA745" s="1" t="s">
        <v>3403</v>
      </c>
      <c r="AB745" s="1"/>
      <c r="AC745" s="1"/>
      <c r="AD745" s="1"/>
      <c r="AE745" s="1" t="s">
        <v>3788</v>
      </c>
      <c r="AF745" s="1" t="s">
        <v>9</v>
      </c>
      <c r="AG745" s="1" t="s">
        <v>9</v>
      </c>
      <c r="AH745" s="1"/>
      <c r="AI745" s="6">
        <v>44926</v>
      </c>
    </row>
    <row r="746" spans="1:35" x14ac:dyDescent="0.3">
      <c r="A746" s="1" t="s">
        <v>1969</v>
      </c>
      <c r="B746" s="2" t="str">
        <f>HYPERLINK("https://my.zakupki.prom.ua/remote/dispatcher/state_purchase_view/34684280")</f>
        <v>https://my.zakupki.prom.ua/remote/dispatcher/state_purchase_view/34684280</v>
      </c>
      <c r="C746" s="1" t="s">
        <v>2397</v>
      </c>
      <c r="D746" s="1" t="s">
        <v>373</v>
      </c>
      <c r="E746" s="4">
        <v>160000</v>
      </c>
      <c r="F746" s="5">
        <v>26.02</v>
      </c>
      <c r="G746" s="1" t="s">
        <v>4908</v>
      </c>
      <c r="H746" s="1" t="s">
        <v>320</v>
      </c>
      <c r="I746" s="1" t="s">
        <v>3187</v>
      </c>
      <c r="J746" s="5">
        <v>4164000</v>
      </c>
      <c r="K746" s="1" t="s">
        <v>3394</v>
      </c>
      <c r="L746" s="5">
        <v>41640</v>
      </c>
      <c r="M746" s="1" t="s">
        <v>2308</v>
      </c>
      <c r="N746" s="1" t="s">
        <v>3983</v>
      </c>
      <c r="O746" s="1" t="s">
        <v>2521</v>
      </c>
      <c r="P746" s="1" t="s">
        <v>2515</v>
      </c>
      <c r="Q746" s="1" t="s">
        <v>3035</v>
      </c>
      <c r="R746" s="1" t="s">
        <v>4333</v>
      </c>
      <c r="S746" s="1" t="s">
        <v>4971</v>
      </c>
      <c r="T746" s="6">
        <v>44593</v>
      </c>
      <c r="U746" s="6">
        <v>44593</v>
      </c>
      <c r="V746" s="7">
        <v>0.49787803458333335</v>
      </c>
      <c r="W746" s="6">
        <v>44609</v>
      </c>
      <c r="X746" s="7">
        <v>0.70833333333333337</v>
      </c>
      <c r="Y746" s="8">
        <v>44610.634618055556</v>
      </c>
      <c r="Z746" s="5">
        <v>3400</v>
      </c>
      <c r="AA746" s="1" t="s">
        <v>3403</v>
      </c>
      <c r="AB746" s="1"/>
      <c r="AC746" s="1"/>
      <c r="AD746" s="1"/>
      <c r="AE746" s="1" t="s">
        <v>3788</v>
      </c>
      <c r="AF746" s="1" t="s">
        <v>9</v>
      </c>
      <c r="AG746" s="4">
        <v>7</v>
      </c>
      <c r="AH746" s="1"/>
      <c r="AI746" s="6">
        <v>44926</v>
      </c>
    </row>
    <row r="747" spans="1:35" x14ac:dyDescent="0.3">
      <c r="A747" s="1" t="s">
        <v>1968</v>
      </c>
      <c r="B747" s="2" t="str">
        <f>HYPERLINK("https://my.zakupki.prom.ua/remote/dispatcher/state_purchase_view/34684269")</f>
        <v>https://my.zakupki.prom.ua/remote/dispatcher/state_purchase_view/34684269</v>
      </c>
      <c r="C747" s="1" t="s">
        <v>3494</v>
      </c>
      <c r="D747" s="1" t="s">
        <v>449</v>
      </c>
      <c r="E747" s="1" t="s">
        <v>4903</v>
      </c>
      <c r="F747" s="1" t="s">
        <v>4903</v>
      </c>
      <c r="G747" s="1" t="s">
        <v>4903</v>
      </c>
      <c r="H747" s="1" t="s">
        <v>833</v>
      </c>
      <c r="I747" s="1" t="s">
        <v>2461</v>
      </c>
      <c r="J747" s="5">
        <v>47500</v>
      </c>
      <c r="K747" s="1" t="s">
        <v>3394</v>
      </c>
      <c r="L747" s="5">
        <v>237.5</v>
      </c>
      <c r="M747" s="1" t="s">
        <v>2308</v>
      </c>
      <c r="N747" s="1" t="s">
        <v>3983</v>
      </c>
      <c r="O747" s="1" t="s">
        <v>2521</v>
      </c>
      <c r="P747" s="1" t="s">
        <v>3956</v>
      </c>
      <c r="Q747" s="1" t="s">
        <v>2497</v>
      </c>
      <c r="R747" s="1" t="s">
        <v>4578</v>
      </c>
      <c r="S747" s="1" t="s">
        <v>4937</v>
      </c>
      <c r="T747" s="6">
        <v>44593</v>
      </c>
      <c r="U747" s="6">
        <v>44599</v>
      </c>
      <c r="V747" s="7">
        <v>0</v>
      </c>
      <c r="W747" s="6">
        <v>44602</v>
      </c>
      <c r="X747" s="7">
        <v>0</v>
      </c>
      <c r="Y747" s="1" t="s">
        <v>4860</v>
      </c>
      <c r="Z747" s="5">
        <v>119</v>
      </c>
      <c r="AA747" s="1" t="s">
        <v>3403</v>
      </c>
      <c r="AB747" s="1"/>
      <c r="AC747" s="1"/>
      <c r="AD747" s="1"/>
      <c r="AE747" s="1" t="s">
        <v>3803</v>
      </c>
      <c r="AF747" s="1" t="s">
        <v>9</v>
      </c>
      <c r="AG747" s="1" t="s">
        <v>9</v>
      </c>
      <c r="AH747" s="1"/>
      <c r="AI747" s="6">
        <v>44743</v>
      </c>
    </row>
    <row r="748" spans="1:35" x14ac:dyDescent="0.3">
      <c r="A748" s="1" t="s">
        <v>1967</v>
      </c>
      <c r="B748" s="2" t="str">
        <f>HYPERLINK("https://my.zakupki.prom.ua/remote/dispatcher/state_purchase_view/34684259")</f>
        <v>https://my.zakupki.prom.ua/remote/dispatcher/state_purchase_view/34684259</v>
      </c>
      <c r="C748" s="1" t="s">
        <v>1155</v>
      </c>
      <c r="D748" s="1" t="s">
        <v>1155</v>
      </c>
      <c r="E748" s="4">
        <v>2</v>
      </c>
      <c r="F748" s="5">
        <v>12000</v>
      </c>
      <c r="G748" s="1" t="s">
        <v>4940</v>
      </c>
      <c r="H748" s="1" t="s">
        <v>922</v>
      </c>
      <c r="I748" s="1" t="s">
        <v>2902</v>
      </c>
      <c r="J748" s="5">
        <v>24000</v>
      </c>
      <c r="K748" s="1" t="s">
        <v>3394</v>
      </c>
      <c r="L748" s="5">
        <v>120</v>
      </c>
      <c r="M748" s="1" t="s">
        <v>2308</v>
      </c>
      <c r="N748" s="1" t="s">
        <v>3983</v>
      </c>
      <c r="O748" s="1" t="s">
        <v>2521</v>
      </c>
      <c r="P748" s="1" t="s">
        <v>2515</v>
      </c>
      <c r="Q748" s="1" t="s">
        <v>3262</v>
      </c>
      <c r="R748" s="1" t="s">
        <v>4228</v>
      </c>
      <c r="S748" s="1" t="s">
        <v>4971</v>
      </c>
      <c r="T748" s="6">
        <v>44593</v>
      </c>
      <c r="U748" s="6">
        <v>44593</v>
      </c>
      <c r="V748" s="7">
        <v>0.49754916503472224</v>
      </c>
      <c r="W748" s="6">
        <v>44609</v>
      </c>
      <c r="X748" s="7">
        <v>0.375</v>
      </c>
      <c r="Y748" s="8">
        <v>44610.503888888888</v>
      </c>
      <c r="Z748" s="5">
        <v>119</v>
      </c>
      <c r="AA748" s="1" t="s">
        <v>3403</v>
      </c>
      <c r="AB748" s="1"/>
      <c r="AC748" s="1"/>
      <c r="AD748" s="1"/>
      <c r="AE748" s="1" t="s">
        <v>3728</v>
      </c>
      <c r="AF748" s="1" t="s">
        <v>9</v>
      </c>
      <c r="AG748" s="4">
        <v>1</v>
      </c>
      <c r="AH748" s="6">
        <v>44621</v>
      </c>
      <c r="AI748" s="6">
        <v>44926</v>
      </c>
    </row>
    <row r="749" spans="1:35" x14ac:dyDescent="0.3">
      <c r="A749" s="1" t="s">
        <v>1966</v>
      </c>
      <c r="B749" s="2" t="str">
        <f>HYPERLINK("https://my.zakupki.prom.ua/remote/dispatcher/state_purchase_view/34683055")</f>
        <v>https://my.zakupki.prom.ua/remote/dispatcher/state_purchase_view/34683055</v>
      </c>
      <c r="C749" s="1" t="s">
        <v>3231</v>
      </c>
      <c r="D749" s="1" t="s">
        <v>953</v>
      </c>
      <c r="E749" s="1" t="s">
        <v>4903</v>
      </c>
      <c r="F749" s="1" t="s">
        <v>4903</v>
      </c>
      <c r="G749" s="1" t="s">
        <v>4903</v>
      </c>
      <c r="H749" s="1" t="s">
        <v>52</v>
      </c>
      <c r="I749" s="1" t="s">
        <v>3134</v>
      </c>
      <c r="J749" s="5">
        <v>55200</v>
      </c>
      <c r="K749" s="1" t="s">
        <v>3394</v>
      </c>
      <c r="L749" s="5">
        <v>276</v>
      </c>
      <c r="M749" s="1" t="s">
        <v>2308</v>
      </c>
      <c r="N749" s="1" t="s">
        <v>3983</v>
      </c>
      <c r="O749" s="1" t="s">
        <v>2521</v>
      </c>
      <c r="P749" s="1" t="s">
        <v>2515</v>
      </c>
      <c r="Q749" s="1" t="s">
        <v>2756</v>
      </c>
      <c r="R749" s="1" t="s">
        <v>4094</v>
      </c>
      <c r="S749" s="1" t="s">
        <v>4971</v>
      </c>
      <c r="T749" s="6">
        <v>44593</v>
      </c>
      <c r="U749" s="6">
        <v>44593</v>
      </c>
      <c r="V749" s="7">
        <v>0.49742230504629625</v>
      </c>
      <c r="W749" s="6">
        <v>44609</v>
      </c>
      <c r="X749" s="7">
        <v>0.48055555555555557</v>
      </c>
      <c r="Y749" s="8">
        <v>44610.484918981485</v>
      </c>
      <c r="Z749" s="5">
        <v>340</v>
      </c>
      <c r="AA749" s="1" t="s">
        <v>3403</v>
      </c>
      <c r="AB749" s="1"/>
      <c r="AC749" s="1"/>
      <c r="AD749" s="1"/>
      <c r="AE749" s="1" t="s">
        <v>3776</v>
      </c>
      <c r="AF749" s="1" t="s">
        <v>9</v>
      </c>
      <c r="AG749" s="4">
        <v>3</v>
      </c>
      <c r="AH749" s="1"/>
      <c r="AI749" s="6">
        <v>44712</v>
      </c>
    </row>
    <row r="750" spans="1:35" x14ac:dyDescent="0.3">
      <c r="A750" s="1" t="s">
        <v>1964</v>
      </c>
      <c r="B750" s="2" t="str">
        <f>HYPERLINK("https://my.zakupki.prom.ua/remote/dispatcher/state_purchase_view/34684215")</f>
        <v>https://my.zakupki.prom.ua/remote/dispatcher/state_purchase_view/34684215</v>
      </c>
      <c r="C750" s="1" t="s">
        <v>2</v>
      </c>
      <c r="D750" s="1" t="s">
        <v>789</v>
      </c>
      <c r="E750" s="1" t="s">
        <v>4903</v>
      </c>
      <c r="F750" s="1" t="s">
        <v>4903</v>
      </c>
      <c r="G750" s="1" t="s">
        <v>4903</v>
      </c>
      <c r="H750" s="1" t="s">
        <v>664</v>
      </c>
      <c r="I750" s="1" t="s">
        <v>2940</v>
      </c>
      <c r="J750" s="5">
        <v>756000</v>
      </c>
      <c r="K750" s="1" t="s">
        <v>3394</v>
      </c>
      <c r="L750" s="5">
        <v>3780</v>
      </c>
      <c r="M750" s="1" t="s">
        <v>2308</v>
      </c>
      <c r="N750" s="1" t="s">
        <v>3983</v>
      </c>
      <c r="O750" s="1" t="s">
        <v>2521</v>
      </c>
      <c r="P750" s="1" t="s">
        <v>2515</v>
      </c>
      <c r="Q750" s="1" t="s">
        <v>2756</v>
      </c>
      <c r="R750" s="1" t="s">
        <v>4483</v>
      </c>
      <c r="S750" s="1" t="s">
        <v>4971</v>
      </c>
      <c r="T750" s="6">
        <v>44593</v>
      </c>
      <c r="U750" s="6">
        <v>44593</v>
      </c>
      <c r="V750" s="7">
        <v>0.49667482334490742</v>
      </c>
      <c r="W750" s="6">
        <v>44614</v>
      </c>
      <c r="X750" s="7">
        <v>0</v>
      </c>
      <c r="Y750" s="8">
        <v>44614.488981481481</v>
      </c>
      <c r="Z750" s="5">
        <v>510</v>
      </c>
      <c r="AA750" s="1" t="s">
        <v>3403</v>
      </c>
      <c r="AB750" s="1"/>
      <c r="AC750" s="1"/>
      <c r="AD750" s="1"/>
      <c r="AE750" s="1" t="s">
        <v>3788</v>
      </c>
      <c r="AF750" s="1" t="s">
        <v>9</v>
      </c>
      <c r="AG750" s="4">
        <v>8</v>
      </c>
      <c r="AH750" s="1"/>
      <c r="AI750" s="6">
        <v>44926</v>
      </c>
    </row>
    <row r="751" spans="1:35" x14ac:dyDescent="0.3">
      <c r="A751" s="1" t="s">
        <v>1585</v>
      </c>
      <c r="B751" s="2" t="str">
        <f>HYPERLINK("https://my.zakupki.prom.ua/remote/dispatcher/state_purchase_view/34684184")</f>
        <v>https://my.zakupki.prom.ua/remote/dispatcher/state_purchase_view/34684184</v>
      </c>
      <c r="C751" s="1" t="s">
        <v>3442</v>
      </c>
      <c r="D751" s="1" t="s">
        <v>618</v>
      </c>
      <c r="E751" s="4">
        <v>16000</v>
      </c>
      <c r="F751" s="5">
        <v>32.25</v>
      </c>
      <c r="G751" s="1" t="s">
        <v>4902</v>
      </c>
      <c r="H751" s="1" t="s">
        <v>786</v>
      </c>
      <c r="I751" s="1" t="s">
        <v>2517</v>
      </c>
      <c r="J751" s="5">
        <v>516000</v>
      </c>
      <c r="K751" s="1" t="s">
        <v>3394</v>
      </c>
      <c r="L751" s="5">
        <v>5160</v>
      </c>
      <c r="M751" s="1" t="s">
        <v>2308</v>
      </c>
      <c r="N751" s="1" t="s">
        <v>3983</v>
      </c>
      <c r="O751" s="1" t="s">
        <v>2521</v>
      </c>
      <c r="P751" s="1" t="s">
        <v>2515</v>
      </c>
      <c r="Q751" s="1" t="s">
        <v>3035</v>
      </c>
      <c r="R751" s="1" t="s">
        <v>4432</v>
      </c>
      <c r="S751" s="1" t="s">
        <v>4971</v>
      </c>
      <c r="T751" s="6">
        <v>44593</v>
      </c>
      <c r="U751" s="6">
        <v>44593</v>
      </c>
      <c r="V751" s="7">
        <v>0.49461351405092591</v>
      </c>
      <c r="W751" s="6">
        <v>44609</v>
      </c>
      <c r="X751" s="7">
        <v>0</v>
      </c>
      <c r="Y751" s="8">
        <v>44609.480196759258</v>
      </c>
      <c r="Z751" s="5">
        <v>510</v>
      </c>
      <c r="AA751" s="1" t="s">
        <v>3403</v>
      </c>
      <c r="AB751" s="1"/>
      <c r="AC751" s="1"/>
      <c r="AD751" s="1"/>
      <c r="AE751" s="1" t="s">
        <v>3765</v>
      </c>
      <c r="AF751" s="1" t="s">
        <v>9</v>
      </c>
      <c r="AG751" s="4">
        <v>8</v>
      </c>
      <c r="AH751" s="1"/>
      <c r="AI751" s="6">
        <v>44926</v>
      </c>
    </row>
    <row r="752" spans="1:35" x14ac:dyDescent="0.3">
      <c r="A752" s="1" t="s">
        <v>1963</v>
      </c>
      <c r="B752" s="2" t="str">
        <f>HYPERLINK("https://my.zakupki.prom.ua/remote/dispatcher/state_purchase_view/34684170")</f>
        <v>https://my.zakupki.prom.ua/remote/dispatcher/state_purchase_view/34684170</v>
      </c>
      <c r="C752" s="1" t="s">
        <v>2479</v>
      </c>
      <c r="D752" s="1" t="s">
        <v>1220</v>
      </c>
      <c r="E752" s="4">
        <v>1</v>
      </c>
      <c r="F752" s="5">
        <v>150000</v>
      </c>
      <c r="G752" s="1" t="s">
        <v>4976</v>
      </c>
      <c r="H752" s="1" t="s">
        <v>155</v>
      </c>
      <c r="I752" s="1" t="s">
        <v>4736</v>
      </c>
      <c r="J752" s="5">
        <v>150000</v>
      </c>
      <c r="K752" s="1" t="s">
        <v>3394</v>
      </c>
      <c r="L752" s="5">
        <v>750</v>
      </c>
      <c r="M752" s="1" t="s">
        <v>2308</v>
      </c>
      <c r="N752" s="1" t="s">
        <v>3983</v>
      </c>
      <c r="O752" s="1" t="s">
        <v>2521</v>
      </c>
      <c r="P752" s="1" t="s">
        <v>3956</v>
      </c>
      <c r="Q752" s="1" t="s">
        <v>3035</v>
      </c>
      <c r="R752" s="1" t="s">
        <v>4499</v>
      </c>
      <c r="S752" s="1" t="s">
        <v>4937</v>
      </c>
      <c r="T752" s="6">
        <v>44593</v>
      </c>
      <c r="U752" s="6">
        <v>44599</v>
      </c>
      <c r="V752" s="7">
        <v>0</v>
      </c>
      <c r="W752" s="6">
        <v>44602</v>
      </c>
      <c r="X752" s="7">
        <v>0</v>
      </c>
      <c r="Y752" s="1" t="s">
        <v>4860</v>
      </c>
      <c r="Z752" s="5">
        <v>340</v>
      </c>
      <c r="AA752" s="1" t="s">
        <v>3403</v>
      </c>
      <c r="AB752" s="1"/>
      <c r="AC752" s="1"/>
      <c r="AD752" s="1"/>
      <c r="AE752" s="1" t="s">
        <v>3694</v>
      </c>
      <c r="AF752" s="1" t="s">
        <v>9</v>
      </c>
      <c r="AG752" s="4">
        <v>4</v>
      </c>
      <c r="AH752" s="1"/>
      <c r="AI752" s="6">
        <v>44712</v>
      </c>
    </row>
    <row r="753" spans="1:35" x14ac:dyDescent="0.3">
      <c r="A753" s="1" t="s">
        <v>1579</v>
      </c>
      <c r="B753" s="2" t="str">
        <f>HYPERLINK("https://my.zakupki.prom.ua/remote/dispatcher/state_purchase_view/34684161")</f>
        <v>https://my.zakupki.prom.ua/remote/dispatcher/state_purchase_view/34684161</v>
      </c>
      <c r="C753" s="1" t="s">
        <v>4839</v>
      </c>
      <c r="D753" s="1" t="s">
        <v>1155</v>
      </c>
      <c r="E753" s="4">
        <v>1</v>
      </c>
      <c r="F753" s="5">
        <v>24000</v>
      </c>
      <c r="G753" s="1" t="s">
        <v>4940</v>
      </c>
      <c r="H753" s="1" t="s">
        <v>259</v>
      </c>
      <c r="I753" s="1" t="s">
        <v>3070</v>
      </c>
      <c r="J753" s="5">
        <v>24000</v>
      </c>
      <c r="K753" s="1" t="s">
        <v>3394</v>
      </c>
      <c r="L753" s="5">
        <v>120</v>
      </c>
      <c r="M753" s="1" t="s">
        <v>2308</v>
      </c>
      <c r="N753" s="1" t="s">
        <v>3983</v>
      </c>
      <c r="O753" s="1" t="s">
        <v>2521</v>
      </c>
      <c r="P753" s="1" t="s">
        <v>3956</v>
      </c>
      <c r="Q753" s="1" t="s">
        <v>3035</v>
      </c>
      <c r="R753" s="1" t="s">
        <v>4364</v>
      </c>
      <c r="S753" s="1" t="s">
        <v>4937</v>
      </c>
      <c r="T753" s="6">
        <v>44593</v>
      </c>
      <c r="U753" s="6">
        <v>44599</v>
      </c>
      <c r="V753" s="7">
        <v>0</v>
      </c>
      <c r="W753" s="6">
        <v>44602</v>
      </c>
      <c r="X753" s="7">
        <v>0.875</v>
      </c>
      <c r="Y753" s="1" t="s">
        <v>4860</v>
      </c>
      <c r="Z753" s="5">
        <v>119</v>
      </c>
      <c r="AA753" s="1" t="s">
        <v>3403</v>
      </c>
      <c r="AB753" s="1"/>
      <c r="AC753" s="1"/>
      <c r="AD753" s="1"/>
      <c r="AE753" s="1" t="s">
        <v>3756</v>
      </c>
      <c r="AF753" s="1" t="s">
        <v>9</v>
      </c>
      <c r="AG753" s="4">
        <v>75</v>
      </c>
      <c r="AH753" s="1"/>
      <c r="AI753" s="6">
        <v>44926</v>
      </c>
    </row>
    <row r="754" spans="1:35" x14ac:dyDescent="0.3">
      <c r="A754" s="1" t="s">
        <v>1940</v>
      </c>
      <c r="B754" s="2" t="str">
        <f>HYPERLINK("https://my.zakupki.prom.ua/remote/dispatcher/state_purchase_view/34684162")</f>
        <v>https://my.zakupki.prom.ua/remote/dispatcher/state_purchase_view/34684162</v>
      </c>
      <c r="C754" s="1" t="s">
        <v>4867</v>
      </c>
      <c r="D754" s="1" t="s">
        <v>779</v>
      </c>
      <c r="E754" s="1" t="s">
        <v>4903</v>
      </c>
      <c r="F754" s="1" t="s">
        <v>4903</v>
      </c>
      <c r="G754" s="1" t="s">
        <v>4903</v>
      </c>
      <c r="H754" s="1" t="s">
        <v>121</v>
      </c>
      <c r="I754" s="1" t="s">
        <v>3138</v>
      </c>
      <c r="J754" s="5">
        <v>3200000</v>
      </c>
      <c r="K754" s="1" t="s">
        <v>3394</v>
      </c>
      <c r="L754" s="5">
        <v>32000</v>
      </c>
      <c r="M754" s="1" t="s">
        <v>2308</v>
      </c>
      <c r="N754" s="1" t="s">
        <v>3983</v>
      </c>
      <c r="O754" s="1" t="s">
        <v>2521</v>
      </c>
      <c r="P754" s="1" t="s">
        <v>2515</v>
      </c>
      <c r="Q754" s="1" t="s">
        <v>4833</v>
      </c>
      <c r="R754" s="1" t="s">
        <v>4495</v>
      </c>
      <c r="S754" s="1" t="s">
        <v>4971</v>
      </c>
      <c r="T754" s="6">
        <v>44593</v>
      </c>
      <c r="U754" s="6">
        <v>44593</v>
      </c>
      <c r="V754" s="7">
        <v>0.4913518055439815</v>
      </c>
      <c r="W754" s="6">
        <v>44609</v>
      </c>
      <c r="X754" s="7">
        <v>0</v>
      </c>
      <c r="Y754" s="8">
        <v>44609.516643518517</v>
      </c>
      <c r="Z754" s="5">
        <v>1700</v>
      </c>
      <c r="AA754" s="1" t="s">
        <v>3403</v>
      </c>
      <c r="AB754" s="1"/>
      <c r="AC754" s="1"/>
      <c r="AD754" s="1"/>
      <c r="AE754" s="1" t="s">
        <v>3788</v>
      </c>
      <c r="AF754" s="1" t="s">
        <v>9</v>
      </c>
      <c r="AG754" s="1" t="s">
        <v>9</v>
      </c>
      <c r="AH754" s="1"/>
      <c r="AI754" s="6">
        <v>44923</v>
      </c>
    </row>
    <row r="755" spans="1:35" x14ac:dyDescent="0.3">
      <c r="A755" s="1" t="s">
        <v>1361</v>
      </c>
      <c r="B755" s="2" t="str">
        <f>HYPERLINK("https://my.zakupki.prom.ua/remote/dispatcher/state_purchase_view/34684157")</f>
        <v>https://my.zakupki.prom.ua/remote/dispatcher/state_purchase_view/34684157</v>
      </c>
      <c r="C755" s="1" t="s">
        <v>1159</v>
      </c>
      <c r="D755" s="1" t="s">
        <v>1158</v>
      </c>
      <c r="E755" s="4">
        <v>1</v>
      </c>
      <c r="F755" s="5">
        <v>314600</v>
      </c>
      <c r="G755" s="1" t="s">
        <v>4939</v>
      </c>
      <c r="H755" s="1" t="s">
        <v>1063</v>
      </c>
      <c r="I755" s="1" t="s">
        <v>4758</v>
      </c>
      <c r="J755" s="5">
        <v>314600</v>
      </c>
      <c r="K755" s="1" t="s">
        <v>3394</v>
      </c>
      <c r="L755" s="5">
        <v>3146</v>
      </c>
      <c r="M755" s="1" t="s">
        <v>2308</v>
      </c>
      <c r="N755" s="1" t="s">
        <v>3403</v>
      </c>
      <c r="O755" s="1" t="s">
        <v>2521</v>
      </c>
      <c r="P755" s="1" t="s">
        <v>2515</v>
      </c>
      <c r="Q755" s="1" t="s">
        <v>3035</v>
      </c>
      <c r="R755" s="1" t="s">
        <v>4081</v>
      </c>
      <c r="S755" s="1" t="s">
        <v>4971</v>
      </c>
      <c r="T755" s="6">
        <v>44593</v>
      </c>
      <c r="U755" s="6">
        <v>44593</v>
      </c>
      <c r="V755" s="7">
        <v>0.49478009259259259</v>
      </c>
      <c r="W755" s="6">
        <v>44609</v>
      </c>
      <c r="X755" s="7">
        <v>0.75</v>
      </c>
      <c r="Y755" s="8">
        <v>44610.486319444448</v>
      </c>
      <c r="Z755" s="5">
        <v>510</v>
      </c>
      <c r="AA755" s="1" t="s">
        <v>3403</v>
      </c>
      <c r="AB755" s="1"/>
      <c r="AC755" s="1"/>
      <c r="AD755" s="1"/>
      <c r="AE755" s="1" t="s">
        <v>3757</v>
      </c>
      <c r="AF755" s="1" t="s">
        <v>9</v>
      </c>
      <c r="AG755" s="4">
        <v>8</v>
      </c>
      <c r="AH755" s="1"/>
      <c r="AI755" s="6">
        <v>44926</v>
      </c>
    </row>
    <row r="756" spans="1:35" x14ac:dyDescent="0.3">
      <c r="A756" s="1" t="s">
        <v>1587</v>
      </c>
      <c r="B756" s="2" t="str">
        <f>HYPERLINK("https://my.zakupki.prom.ua/remote/dispatcher/state_purchase_lot_view/740663")</f>
        <v>https://my.zakupki.prom.ua/remote/dispatcher/state_purchase_lot_view/740663</v>
      </c>
      <c r="C756" s="1" t="s">
        <v>4894</v>
      </c>
      <c r="D756" s="1" t="s">
        <v>1024</v>
      </c>
      <c r="E756" s="1" t="s">
        <v>4903</v>
      </c>
      <c r="F756" s="1" t="s">
        <v>4903</v>
      </c>
      <c r="G756" s="1" t="s">
        <v>4903</v>
      </c>
      <c r="H756" s="1" t="s">
        <v>987</v>
      </c>
      <c r="I756" s="1" t="s">
        <v>3178</v>
      </c>
      <c r="J756" s="5">
        <v>458954.83</v>
      </c>
      <c r="K756" s="5">
        <v>458954.83</v>
      </c>
      <c r="L756" s="5">
        <v>2294.77</v>
      </c>
      <c r="M756" s="1" t="s">
        <v>2308</v>
      </c>
      <c r="N756" s="1" t="s">
        <v>3983</v>
      </c>
      <c r="O756" s="1" t="s">
        <v>2521</v>
      </c>
      <c r="P756" s="1" t="s">
        <v>2515</v>
      </c>
      <c r="Q756" s="1" t="s">
        <v>2820</v>
      </c>
      <c r="R756" s="1" t="s">
        <v>4081</v>
      </c>
      <c r="S756" s="1" t="s">
        <v>4971</v>
      </c>
      <c r="T756" s="6">
        <v>44593</v>
      </c>
      <c r="U756" s="6">
        <v>44593</v>
      </c>
      <c r="V756" s="7">
        <v>0.49548687320601847</v>
      </c>
      <c r="W756" s="6">
        <v>44609</v>
      </c>
      <c r="X756" s="7">
        <v>0.5</v>
      </c>
      <c r="Y756" s="8">
        <v>44610.642222222225</v>
      </c>
      <c r="Z756" s="5">
        <v>510</v>
      </c>
      <c r="AA756" s="1" t="s">
        <v>3403</v>
      </c>
      <c r="AB756" s="1"/>
      <c r="AC756" s="1"/>
      <c r="AD756" s="1"/>
      <c r="AE756" s="1" t="s">
        <v>3806</v>
      </c>
      <c r="AF756" s="1" t="s">
        <v>9</v>
      </c>
      <c r="AG756" s="4">
        <v>5</v>
      </c>
      <c r="AH756" s="1"/>
      <c r="AI756" s="6">
        <v>44926</v>
      </c>
    </row>
    <row r="757" spans="1:35" x14ac:dyDescent="0.3">
      <c r="A757" s="1" t="s">
        <v>1581</v>
      </c>
      <c r="B757" s="2" t="str">
        <f>HYPERLINK("https://my.zakupki.prom.ua/remote/dispatcher/state_purchase_view/34684136")</f>
        <v>https://my.zakupki.prom.ua/remote/dispatcher/state_purchase_view/34684136</v>
      </c>
      <c r="C757" s="1" t="s">
        <v>2371</v>
      </c>
      <c r="D757" s="1" t="s">
        <v>822</v>
      </c>
      <c r="E757" s="4">
        <v>1</v>
      </c>
      <c r="F757" s="5">
        <v>1852000</v>
      </c>
      <c r="G757" s="1" t="s">
        <v>4989</v>
      </c>
      <c r="H757" s="1" t="s">
        <v>323</v>
      </c>
      <c r="I757" s="1" t="s">
        <v>4724</v>
      </c>
      <c r="J757" s="5">
        <v>1852000</v>
      </c>
      <c r="K757" s="1" t="s">
        <v>3394</v>
      </c>
      <c r="L757" s="5">
        <v>9260</v>
      </c>
      <c r="M757" s="1" t="s">
        <v>2308</v>
      </c>
      <c r="N757" s="1" t="s">
        <v>3983</v>
      </c>
      <c r="O757" s="1" t="s">
        <v>2521</v>
      </c>
      <c r="P757" s="1" t="s">
        <v>2515</v>
      </c>
      <c r="Q757" s="1" t="s">
        <v>2497</v>
      </c>
      <c r="R757" s="1" t="s">
        <v>4081</v>
      </c>
      <c r="S757" s="1" t="s">
        <v>4971</v>
      </c>
      <c r="T757" s="6">
        <v>44593</v>
      </c>
      <c r="U757" s="6">
        <v>44593</v>
      </c>
      <c r="V757" s="7">
        <v>0.49462962962962964</v>
      </c>
      <c r="W757" s="6">
        <v>44609</v>
      </c>
      <c r="X757" s="7">
        <v>0.54166666666666663</v>
      </c>
      <c r="Y757" s="8">
        <v>44610.532430555555</v>
      </c>
      <c r="Z757" s="5">
        <v>1700</v>
      </c>
      <c r="AA757" s="1" t="s">
        <v>3403</v>
      </c>
      <c r="AB757" s="1"/>
      <c r="AC757" s="1"/>
      <c r="AD757" s="1"/>
      <c r="AE757" s="1" t="s">
        <v>3788</v>
      </c>
      <c r="AF757" s="1" t="s">
        <v>9</v>
      </c>
      <c r="AG757" s="4">
        <v>1</v>
      </c>
      <c r="AH757" s="1"/>
      <c r="AI757" s="6">
        <v>44926</v>
      </c>
    </row>
    <row r="758" spans="1:35" x14ac:dyDescent="0.3">
      <c r="A758" s="1" t="s">
        <v>1947</v>
      </c>
      <c r="B758" s="2" t="str">
        <f>HYPERLINK("https://my.zakupki.prom.ua/remote/dispatcher/state_purchase_view/34684120")</f>
        <v>https://my.zakupki.prom.ua/remote/dispatcher/state_purchase_view/34684120</v>
      </c>
      <c r="C758" s="1" t="s">
        <v>2592</v>
      </c>
      <c r="D758" s="1" t="s">
        <v>767</v>
      </c>
      <c r="E758" s="1" t="s">
        <v>4903</v>
      </c>
      <c r="F758" s="1" t="s">
        <v>4903</v>
      </c>
      <c r="G758" s="1" t="s">
        <v>4903</v>
      </c>
      <c r="H758" s="1" t="s">
        <v>1017</v>
      </c>
      <c r="I758" s="1" t="s">
        <v>3129</v>
      </c>
      <c r="J758" s="5">
        <v>175735.1</v>
      </c>
      <c r="K758" s="1" t="s">
        <v>3394</v>
      </c>
      <c r="L758" s="5">
        <v>878.68</v>
      </c>
      <c r="M758" s="1" t="s">
        <v>2308</v>
      </c>
      <c r="N758" s="1" t="s">
        <v>3983</v>
      </c>
      <c r="O758" s="1" t="s">
        <v>2521</v>
      </c>
      <c r="P758" s="1" t="s">
        <v>2515</v>
      </c>
      <c r="Q758" s="1" t="s">
        <v>2820</v>
      </c>
      <c r="R758" s="1" t="s">
        <v>4688</v>
      </c>
      <c r="S758" s="1" t="s">
        <v>4971</v>
      </c>
      <c r="T758" s="6">
        <v>44593</v>
      </c>
      <c r="U758" s="6">
        <v>44593</v>
      </c>
      <c r="V758" s="7">
        <v>0.49334924976851857</v>
      </c>
      <c r="W758" s="6">
        <v>44609</v>
      </c>
      <c r="X758" s="7">
        <v>0</v>
      </c>
      <c r="Y758" s="8">
        <v>44609.53733796296</v>
      </c>
      <c r="Z758" s="5">
        <v>340</v>
      </c>
      <c r="AA758" s="1" t="s">
        <v>3403</v>
      </c>
      <c r="AB758" s="1"/>
      <c r="AC758" s="1"/>
      <c r="AD758" s="1"/>
      <c r="AE758" s="1" t="s">
        <v>3788</v>
      </c>
      <c r="AF758" s="1" t="s">
        <v>9</v>
      </c>
      <c r="AG758" s="1" t="s">
        <v>9</v>
      </c>
      <c r="AH758" s="1"/>
      <c r="AI758" s="6">
        <v>44712</v>
      </c>
    </row>
    <row r="759" spans="1:35" x14ac:dyDescent="0.3">
      <c r="A759" s="1" t="s">
        <v>1962</v>
      </c>
      <c r="B759" s="2" t="str">
        <f>HYPERLINK("https://my.zakupki.prom.ua/remote/dispatcher/state_purchase_view/34684110")</f>
        <v>https://my.zakupki.prom.ua/remote/dispatcher/state_purchase_view/34684110</v>
      </c>
      <c r="C759" s="1" t="s">
        <v>2421</v>
      </c>
      <c r="D759" s="1" t="s">
        <v>961</v>
      </c>
      <c r="E759" s="4">
        <v>30</v>
      </c>
      <c r="F759" s="5">
        <v>166.67</v>
      </c>
      <c r="G759" s="1" t="s">
        <v>4919</v>
      </c>
      <c r="H759" s="1" t="s">
        <v>238</v>
      </c>
      <c r="I759" s="1" t="s">
        <v>2981</v>
      </c>
      <c r="J759" s="5">
        <v>5000</v>
      </c>
      <c r="K759" s="1" t="s">
        <v>3394</v>
      </c>
      <c r="L759" s="5">
        <v>50</v>
      </c>
      <c r="M759" s="1" t="s">
        <v>2308</v>
      </c>
      <c r="N759" s="1" t="s">
        <v>3983</v>
      </c>
      <c r="O759" s="1" t="s">
        <v>2521</v>
      </c>
      <c r="P759" s="1" t="s">
        <v>3956</v>
      </c>
      <c r="Q759" s="1" t="s">
        <v>4834</v>
      </c>
      <c r="R759" s="1" t="s">
        <v>4450</v>
      </c>
      <c r="S759" s="1" t="s">
        <v>4937</v>
      </c>
      <c r="T759" s="6">
        <v>44593</v>
      </c>
      <c r="U759" s="6">
        <v>44599</v>
      </c>
      <c r="V759" s="7">
        <v>0.95833333333333337</v>
      </c>
      <c r="W759" s="6">
        <v>44603</v>
      </c>
      <c r="X759" s="7">
        <v>0.33333333333333331</v>
      </c>
      <c r="Y759" s="1" t="s">
        <v>4860</v>
      </c>
      <c r="Z759" s="5">
        <v>17</v>
      </c>
      <c r="AA759" s="1" t="s">
        <v>3403</v>
      </c>
      <c r="AB759" s="1"/>
      <c r="AC759" s="1"/>
      <c r="AD759" s="1"/>
      <c r="AE759" s="1" t="s">
        <v>3799</v>
      </c>
      <c r="AF759" s="1" t="s">
        <v>9</v>
      </c>
      <c r="AG759" s="4">
        <v>11</v>
      </c>
      <c r="AH759" s="1"/>
      <c r="AI759" s="6">
        <v>44926</v>
      </c>
    </row>
    <row r="760" spans="1:35" x14ac:dyDescent="0.3">
      <c r="A760" s="1" t="s">
        <v>1583</v>
      </c>
      <c r="B760" s="2" t="str">
        <f>HYPERLINK("https://my.zakupki.prom.ua/remote/dispatcher/state_purchase_view/34684115")</f>
        <v>https://my.zakupki.prom.ua/remote/dispatcher/state_purchase_view/34684115</v>
      </c>
      <c r="C760" s="1" t="s">
        <v>2606</v>
      </c>
      <c r="D760" s="1" t="s">
        <v>218</v>
      </c>
      <c r="E760" s="1" t="s">
        <v>4903</v>
      </c>
      <c r="F760" s="1" t="s">
        <v>4903</v>
      </c>
      <c r="G760" s="1" t="s">
        <v>4903</v>
      </c>
      <c r="H760" s="1" t="s">
        <v>757</v>
      </c>
      <c r="I760" s="1" t="s">
        <v>4750</v>
      </c>
      <c r="J760" s="5">
        <v>231265</v>
      </c>
      <c r="K760" s="1" t="s">
        <v>3394</v>
      </c>
      <c r="L760" s="5">
        <v>1156.33</v>
      </c>
      <c r="M760" s="1" t="s">
        <v>2308</v>
      </c>
      <c r="N760" s="1" t="s">
        <v>3983</v>
      </c>
      <c r="O760" s="1" t="s">
        <v>2521</v>
      </c>
      <c r="P760" s="1" t="s">
        <v>2515</v>
      </c>
      <c r="Q760" s="1" t="s">
        <v>2796</v>
      </c>
      <c r="R760" s="1" t="s">
        <v>4701</v>
      </c>
      <c r="S760" s="1" t="s">
        <v>4971</v>
      </c>
      <c r="T760" s="6">
        <v>44593</v>
      </c>
      <c r="U760" s="6">
        <v>44593</v>
      </c>
      <c r="V760" s="7">
        <v>0.49332166061342597</v>
      </c>
      <c r="W760" s="6">
        <v>44609</v>
      </c>
      <c r="X760" s="7">
        <v>0</v>
      </c>
      <c r="Y760" s="8">
        <v>44609.464363425926</v>
      </c>
      <c r="Z760" s="5">
        <v>510</v>
      </c>
      <c r="AA760" s="1" t="s">
        <v>3403</v>
      </c>
      <c r="AB760" s="1"/>
      <c r="AC760" s="1"/>
      <c r="AD760" s="1"/>
      <c r="AE760" s="1" t="s">
        <v>3765</v>
      </c>
      <c r="AF760" s="1" t="s">
        <v>9</v>
      </c>
      <c r="AG760" s="4">
        <v>4</v>
      </c>
      <c r="AH760" s="1"/>
      <c r="AI760" s="6">
        <v>44926</v>
      </c>
    </row>
    <row r="761" spans="1:35" x14ac:dyDescent="0.3">
      <c r="A761" s="1" t="s">
        <v>1584</v>
      </c>
      <c r="B761" s="2" t="str">
        <f>HYPERLINK("https://my.zakupki.prom.ua/remote/dispatcher/state_purchase_view/34684083")</f>
        <v>https://my.zakupki.prom.ua/remote/dispatcher/state_purchase_view/34684083</v>
      </c>
      <c r="C761" s="1" t="s">
        <v>4846</v>
      </c>
      <c r="D761" s="1" t="s">
        <v>177</v>
      </c>
      <c r="E761" s="4">
        <v>60000</v>
      </c>
      <c r="F761" s="5">
        <v>3.3</v>
      </c>
      <c r="G761" s="1" t="s">
        <v>4991</v>
      </c>
      <c r="H761" s="1" t="s">
        <v>171</v>
      </c>
      <c r="I761" s="1" t="s">
        <v>3086</v>
      </c>
      <c r="J761" s="5">
        <v>198000</v>
      </c>
      <c r="K761" s="1" t="s">
        <v>3394</v>
      </c>
      <c r="L761" s="5">
        <v>990</v>
      </c>
      <c r="M761" s="1" t="s">
        <v>2308</v>
      </c>
      <c r="N761" s="1" t="s">
        <v>3983</v>
      </c>
      <c r="O761" s="1" t="s">
        <v>2521</v>
      </c>
      <c r="P761" s="1" t="s">
        <v>3956</v>
      </c>
      <c r="Q761" s="1" t="s">
        <v>2334</v>
      </c>
      <c r="R761" s="1" t="s">
        <v>4066</v>
      </c>
      <c r="S761" s="1" t="s">
        <v>4937</v>
      </c>
      <c r="T761" s="6">
        <v>44593</v>
      </c>
      <c r="U761" s="6">
        <v>44599</v>
      </c>
      <c r="V761" s="7">
        <v>0</v>
      </c>
      <c r="W761" s="6">
        <v>44602</v>
      </c>
      <c r="X761" s="7">
        <v>0</v>
      </c>
      <c r="Y761" s="1" t="s">
        <v>4860</v>
      </c>
      <c r="Z761" s="5">
        <v>340</v>
      </c>
      <c r="AA761" s="1" t="s">
        <v>3403</v>
      </c>
      <c r="AB761" s="1"/>
      <c r="AC761" s="1"/>
      <c r="AD761" s="1"/>
      <c r="AE761" s="1" t="s">
        <v>3796</v>
      </c>
      <c r="AF761" s="1" t="s">
        <v>9</v>
      </c>
      <c r="AG761" s="4">
        <v>1</v>
      </c>
      <c r="AH761" s="1"/>
      <c r="AI761" s="6">
        <v>44926</v>
      </c>
    </row>
    <row r="762" spans="1:35" x14ac:dyDescent="0.3">
      <c r="A762" s="1" t="s">
        <v>1362</v>
      </c>
      <c r="B762" s="2" t="str">
        <f>HYPERLINK("https://my.zakupki.prom.ua/remote/dispatcher/state_purchase_view/34684062")</f>
        <v>https://my.zakupki.prom.ua/remote/dispatcher/state_purchase_view/34684062</v>
      </c>
      <c r="C762" s="1" t="s">
        <v>4851</v>
      </c>
      <c r="D762" s="1" t="s">
        <v>441</v>
      </c>
      <c r="E762" s="1" t="s">
        <v>4903</v>
      </c>
      <c r="F762" s="1" t="s">
        <v>4903</v>
      </c>
      <c r="G762" s="1" t="s">
        <v>4903</v>
      </c>
      <c r="H762" s="1" t="s">
        <v>192</v>
      </c>
      <c r="I762" s="1" t="s">
        <v>2845</v>
      </c>
      <c r="J762" s="5">
        <v>794000</v>
      </c>
      <c r="K762" s="1" t="s">
        <v>3394</v>
      </c>
      <c r="L762" s="5">
        <v>3970</v>
      </c>
      <c r="M762" s="1" t="s">
        <v>2308</v>
      </c>
      <c r="N762" s="1" t="s">
        <v>3983</v>
      </c>
      <c r="O762" s="1" t="s">
        <v>2521</v>
      </c>
      <c r="P762" s="1" t="s">
        <v>2515</v>
      </c>
      <c r="Q762" s="1" t="s">
        <v>4798</v>
      </c>
      <c r="R762" s="1" t="s">
        <v>4217</v>
      </c>
      <c r="S762" s="1" t="s">
        <v>4971</v>
      </c>
      <c r="T762" s="6">
        <v>44593</v>
      </c>
      <c r="U762" s="6">
        <v>44593</v>
      </c>
      <c r="V762" s="7">
        <v>0.49287004192129624</v>
      </c>
      <c r="W762" s="6">
        <v>44609</v>
      </c>
      <c r="X762" s="7">
        <v>0.49633101851851852</v>
      </c>
      <c r="Y762" s="8">
        <v>44610.602870370371</v>
      </c>
      <c r="Z762" s="5">
        <v>510</v>
      </c>
      <c r="AA762" s="1" t="s">
        <v>3403</v>
      </c>
      <c r="AB762" s="1"/>
      <c r="AC762" s="1"/>
      <c r="AD762" s="1"/>
      <c r="AE762" s="1" t="s">
        <v>3781</v>
      </c>
      <c r="AF762" s="1" t="s">
        <v>9</v>
      </c>
      <c r="AG762" s="4">
        <v>2</v>
      </c>
      <c r="AH762" s="1"/>
      <c r="AI762" s="6">
        <v>44926</v>
      </c>
    </row>
    <row r="763" spans="1:35" x14ac:dyDescent="0.3">
      <c r="A763" s="1" t="s">
        <v>1582</v>
      </c>
      <c r="B763" s="2" t="str">
        <f>HYPERLINK("https://my.zakupki.prom.ua/remote/dispatcher/state_purchase_view/34684050")</f>
        <v>https://my.zakupki.prom.ua/remote/dispatcher/state_purchase_view/34684050</v>
      </c>
      <c r="C763" s="1" t="s">
        <v>4802</v>
      </c>
      <c r="D763" s="1" t="s">
        <v>497</v>
      </c>
      <c r="E763" s="1" t="s">
        <v>4903</v>
      </c>
      <c r="F763" s="1" t="s">
        <v>4903</v>
      </c>
      <c r="G763" s="1" t="s">
        <v>4903</v>
      </c>
      <c r="H763" s="1" t="s">
        <v>318</v>
      </c>
      <c r="I763" s="1" t="s">
        <v>4853</v>
      </c>
      <c r="J763" s="5">
        <v>62050</v>
      </c>
      <c r="K763" s="1" t="s">
        <v>3394</v>
      </c>
      <c r="L763" s="5">
        <v>310.25</v>
      </c>
      <c r="M763" s="1" t="s">
        <v>2308</v>
      </c>
      <c r="N763" s="1" t="s">
        <v>3983</v>
      </c>
      <c r="O763" s="1" t="s">
        <v>2521</v>
      </c>
      <c r="P763" s="1" t="s">
        <v>3956</v>
      </c>
      <c r="Q763" s="1" t="s">
        <v>3504</v>
      </c>
      <c r="R763" s="1" t="s">
        <v>4401</v>
      </c>
      <c r="S763" s="1" t="s">
        <v>4937</v>
      </c>
      <c r="T763" s="6">
        <v>44593</v>
      </c>
      <c r="U763" s="6">
        <v>44599</v>
      </c>
      <c r="V763" s="7">
        <v>0</v>
      </c>
      <c r="W763" s="6">
        <v>44601</v>
      </c>
      <c r="X763" s="7">
        <v>0.49635416666666665</v>
      </c>
      <c r="Y763" s="1" t="s">
        <v>4860</v>
      </c>
      <c r="Z763" s="5">
        <v>340</v>
      </c>
      <c r="AA763" s="1" t="s">
        <v>3403</v>
      </c>
      <c r="AB763" s="1"/>
      <c r="AC763" s="1"/>
      <c r="AD763" s="1"/>
      <c r="AE763" s="1" t="s">
        <v>3787</v>
      </c>
      <c r="AF763" s="1" t="s">
        <v>9</v>
      </c>
      <c r="AG763" s="4">
        <v>3</v>
      </c>
      <c r="AH763" s="1"/>
      <c r="AI763" s="6">
        <v>44926</v>
      </c>
    </row>
    <row r="764" spans="1:35" x14ac:dyDescent="0.3">
      <c r="A764" s="1" t="s">
        <v>1961</v>
      </c>
      <c r="B764" s="2" t="str">
        <f>HYPERLINK("https://my.zakupki.prom.ua/remote/dispatcher/state_purchase_lot_view/740660")</f>
        <v>https://my.zakupki.prom.ua/remote/dispatcher/state_purchase_lot_view/740660</v>
      </c>
      <c r="C764" s="1" t="s">
        <v>3633</v>
      </c>
      <c r="D764" s="1" t="s">
        <v>1225</v>
      </c>
      <c r="E764" s="4">
        <v>1</v>
      </c>
      <c r="F764" s="5">
        <v>157705</v>
      </c>
      <c r="G764" s="1" t="s">
        <v>4940</v>
      </c>
      <c r="H764" s="1" t="s">
        <v>562</v>
      </c>
      <c r="I764" s="1" t="s">
        <v>4721</v>
      </c>
      <c r="J764" s="5">
        <v>227238</v>
      </c>
      <c r="K764" s="5">
        <v>157705</v>
      </c>
      <c r="L764" s="5">
        <v>790</v>
      </c>
      <c r="M764" s="1" t="s">
        <v>2308</v>
      </c>
      <c r="N764" s="1" t="s">
        <v>3983</v>
      </c>
      <c r="O764" s="1" t="s">
        <v>2521</v>
      </c>
      <c r="P764" s="1" t="s">
        <v>2515</v>
      </c>
      <c r="Q764" s="1" t="s">
        <v>3035</v>
      </c>
      <c r="R764" s="1" t="s">
        <v>4242</v>
      </c>
      <c r="S764" s="1" t="s">
        <v>4971</v>
      </c>
      <c r="T764" s="6">
        <v>44593</v>
      </c>
      <c r="U764" s="6">
        <v>44593</v>
      </c>
      <c r="V764" s="7">
        <v>0.4959602398611111</v>
      </c>
      <c r="W764" s="6">
        <v>44609</v>
      </c>
      <c r="X764" s="7">
        <v>0.46597222222222223</v>
      </c>
      <c r="Y764" s="8">
        <v>44610.552546296298</v>
      </c>
      <c r="Z764" s="5">
        <v>340</v>
      </c>
      <c r="AA764" s="1" t="s">
        <v>3403</v>
      </c>
      <c r="AB764" s="1"/>
      <c r="AC764" s="1"/>
      <c r="AD764" s="1"/>
      <c r="AE764" s="1" t="s">
        <v>3759</v>
      </c>
      <c r="AF764" s="1" t="s">
        <v>9</v>
      </c>
      <c r="AG764" s="4">
        <v>6</v>
      </c>
      <c r="AH764" s="1"/>
      <c r="AI764" s="6">
        <v>44926</v>
      </c>
    </row>
    <row r="765" spans="1:35" x14ac:dyDescent="0.3">
      <c r="A765" s="1" t="s">
        <v>1961</v>
      </c>
      <c r="B765" s="2" t="str">
        <f>HYPERLINK("https://my.zakupki.prom.ua/remote/dispatcher/state_purchase_lot_view/740661")</f>
        <v>https://my.zakupki.prom.ua/remote/dispatcher/state_purchase_lot_view/740661</v>
      </c>
      <c r="C765" s="1" t="s">
        <v>3634</v>
      </c>
      <c r="D765" s="1" t="s">
        <v>1225</v>
      </c>
      <c r="E765" s="4">
        <v>1</v>
      </c>
      <c r="F765" s="5">
        <v>69533</v>
      </c>
      <c r="G765" s="1" t="s">
        <v>4940</v>
      </c>
      <c r="H765" s="1" t="s">
        <v>562</v>
      </c>
      <c r="I765" s="1" t="s">
        <v>4721</v>
      </c>
      <c r="J765" s="5">
        <v>227238</v>
      </c>
      <c r="K765" s="5">
        <v>69533</v>
      </c>
      <c r="L765" s="5">
        <v>350</v>
      </c>
      <c r="M765" s="1" t="s">
        <v>2308</v>
      </c>
      <c r="N765" s="1" t="s">
        <v>3983</v>
      </c>
      <c r="O765" s="1" t="s">
        <v>2521</v>
      </c>
      <c r="P765" s="1" t="s">
        <v>2515</v>
      </c>
      <c r="Q765" s="1" t="s">
        <v>3035</v>
      </c>
      <c r="R765" s="1" t="s">
        <v>4242</v>
      </c>
      <c r="S765" s="1" t="s">
        <v>4971</v>
      </c>
      <c r="T765" s="6">
        <v>44593</v>
      </c>
      <c r="U765" s="6">
        <v>44593</v>
      </c>
      <c r="V765" s="7">
        <v>0.4959602398611111</v>
      </c>
      <c r="W765" s="6">
        <v>44609</v>
      </c>
      <c r="X765" s="7">
        <v>0.46597222222222223</v>
      </c>
      <c r="Y765" s="8">
        <v>44610.567199074074</v>
      </c>
      <c r="Z765" s="5">
        <v>340</v>
      </c>
      <c r="AA765" s="1" t="s">
        <v>3403</v>
      </c>
      <c r="AB765" s="1"/>
      <c r="AC765" s="1"/>
      <c r="AD765" s="1"/>
      <c r="AE765" s="1" t="s">
        <v>3759</v>
      </c>
      <c r="AF765" s="1" t="s">
        <v>9</v>
      </c>
      <c r="AG765" s="4">
        <v>6</v>
      </c>
      <c r="AH765" s="1"/>
      <c r="AI765" s="6">
        <v>44926</v>
      </c>
    </row>
    <row r="766" spans="1:35" x14ac:dyDescent="0.3">
      <c r="A766" s="1" t="s">
        <v>1360</v>
      </c>
      <c r="B766" s="2" t="str">
        <f>HYPERLINK("https://my.zakupki.prom.ua/remote/dispatcher/state_purchase_view/34684035")</f>
        <v>https://my.zakupki.prom.ua/remote/dispatcher/state_purchase_view/34684035</v>
      </c>
      <c r="C766" s="1" t="s">
        <v>2402</v>
      </c>
      <c r="D766" s="1" t="s">
        <v>377</v>
      </c>
      <c r="E766" s="1" t="s">
        <v>4903</v>
      </c>
      <c r="F766" s="1" t="s">
        <v>4903</v>
      </c>
      <c r="G766" s="1" t="s">
        <v>4903</v>
      </c>
      <c r="H766" s="1" t="s">
        <v>325</v>
      </c>
      <c r="I766" s="1" t="s">
        <v>4852</v>
      </c>
      <c r="J766" s="5">
        <v>239750</v>
      </c>
      <c r="K766" s="1" t="s">
        <v>3394</v>
      </c>
      <c r="L766" s="5">
        <v>1198.75</v>
      </c>
      <c r="M766" s="1" t="s">
        <v>2308</v>
      </c>
      <c r="N766" s="1" t="s">
        <v>3983</v>
      </c>
      <c r="O766" s="1" t="s">
        <v>2521</v>
      </c>
      <c r="P766" s="1" t="s">
        <v>2515</v>
      </c>
      <c r="Q766" s="1" t="s">
        <v>4805</v>
      </c>
      <c r="R766" s="1" t="s">
        <v>4651</v>
      </c>
      <c r="S766" s="1" t="s">
        <v>4971</v>
      </c>
      <c r="T766" s="6">
        <v>44593</v>
      </c>
      <c r="U766" s="6">
        <v>44593</v>
      </c>
      <c r="V766" s="7">
        <v>0.49269891563657403</v>
      </c>
      <c r="W766" s="6">
        <v>44609</v>
      </c>
      <c r="X766" s="7">
        <v>0.66666666666666663</v>
      </c>
      <c r="Y766" s="8">
        <v>44610.616944444446</v>
      </c>
      <c r="Z766" s="5">
        <v>510</v>
      </c>
      <c r="AA766" s="1" t="s">
        <v>3403</v>
      </c>
      <c r="AB766" s="1"/>
      <c r="AC766" s="1"/>
      <c r="AD766" s="1"/>
      <c r="AE766" s="1" t="s">
        <v>3787</v>
      </c>
      <c r="AF766" s="1" t="s">
        <v>9</v>
      </c>
      <c r="AG766" s="4">
        <v>2</v>
      </c>
      <c r="AH766" s="1"/>
      <c r="AI766" s="6">
        <v>44926</v>
      </c>
    </row>
    <row r="767" spans="1:35" x14ac:dyDescent="0.3">
      <c r="A767" s="1" t="s">
        <v>1580</v>
      </c>
      <c r="B767" s="2" t="str">
        <f>HYPERLINK("https://my.zakupki.prom.ua/remote/dispatcher/state_purchase_view/34684018")</f>
        <v>https://my.zakupki.prom.ua/remote/dispatcher/state_purchase_view/34684018</v>
      </c>
      <c r="C767" s="1" t="s">
        <v>4015</v>
      </c>
      <c r="D767" s="1" t="s">
        <v>736</v>
      </c>
      <c r="E767" s="4">
        <v>2</v>
      </c>
      <c r="F767" s="5">
        <v>6000</v>
      </c>
      <c r="G767" s="1" t="s">
        <v>4989</v>
      </c>
      <c r="H767" s="1" t="s">
        <v>354</v>
      </c>
      <c r="I767" s="1" t="s">
        <v>2577</v>
      </c>
      <c r="J767" s="5">
        <v>12000</v>
      </c>
      <c r="K767" s="1" t="s">
        <v>3394</v>
      </c>
      <c r="L767" s="5">
        <v>120</v>
      </c>
      <c r="M767" s="1" t="s">
        <v>2308</v>
      </c>
      <c r="N767" s="1" t="s">
        <v>3403</v>
      </c>
      <c r="O767" s="1" t="s">
        <v>2521</v>
      </c>
      <c r="P767" s="1" t="s">
        <v>2762</v>
      </c>
      <c r="Q767" s="1" t="s">
        <v>2820</v>
      </c>
      <c r="R767" s="1" t="s">
        <v>4081</v>
      </c>
      <c r="S767" s="1" t="s">
        <v>4937</v>
      </c>
      <c r="T767" s="6">
        <v>44593</v>
      </c>
      <c r="U767" s="6">
        <v>44600</v>
      </c>
      <c r="V767" s="7">
        <v>0.41666666666666669</v>
      </c>
      <c r="W767" s="6">
        <v>44607</v>
      </c>
      <c r="X767" s="7">
        <v>0.41666666666666669</v>
      </c>
      <c r="Y767" s="1" t="s">
        <v>4860</v>
      </c>
      <c r="Z767" s="5">
        <v>17</v>
      </c>
      <c r="AA767" s="1" t="s">
        <v>3403</v>
      </c>
      <c r="AB767" s="1"/>
      <c r="AC767" s="1"/>
      <c r="AD767" s="1"/>
      <c r="AE767" s="1" t="s">
        <v>3766</v>
      </c>
      <c r="AF767" s="1" t="s">
        <v>9</v>
      </c>
      <c r="AG767" s="1" t="s">
        <v>9</v>
      </c>
      <c r="AH767" s="1"/>
      <c r="AI767" s="1"/>
    </row>
    <row r="768" spans="1:35" x14ac:dyDescent="0.3">
      <c r="A768" s="1" t="s">
        <v>1359</v>
      </c>
      <c r="B768" s="2" t="str">
        <f>HYPERLINK("https://my.zakupki.prom.ua/remote/dispatcher/state_purchase_view/34684002")</f>
        <v>https://my.zakupki.prom.ua/remote/dispatcher/state_purchase_view/34684002</v>
      </c>
      <c r="C768" s="1" t="s">
        <v>4766</v>
      </c>
      <c r="D768" s="1" t="s">
        <v>789</v>
      </c>
      <c r="E768" s="1" t="s">
        <v>4903</v>
      </c>
      <c r="F768" s="1" t="s">
        <v>4903</v>
      </c>
      <c r="G768" s="1" t="s">
        <v>4903</v>
      </c>
      <c r="H768" s="1" t="s">
        <v>93</v>
      </c>
      <c r="I768" s="1" t="s">
        <v>3098</v>
      </c>
      <c r="J768" s="5">
        <v>90000</v>
      </c>
      <c r="K768" s="1" t="s">
        <v>3394</v>
      </c>
      <c r="L768" s="5">
        <v>900</v>
      </c>
      <c r="M768" s="1" t="s">
        <v>2308</v>
      </c>
      <c r="N768" s="1" t="s">
        <v>3983</v>
      </c>
      <c r="O768" s="1" t="s">
        <v>2521</v>
      </c>
      <c r="P768" s="1" t="s">
        <v>2762</v>
      </c>
      <c r="Q768" s="1" t="s">
        <v>3325</v>
      </c>
      <c r="R768" s="1" t="s">
        <v>4147</v>
      </c>
      <c r="S768" s="1" t="s">
        <v>4937</v>
      </c>
      <c r="T768" s="6">
        <v>44593</v>
      </c>
      <c r="U768" s="6">
        <v>44599</v>
      </c>
      <c r="V768" s="7">
        <v>0.495</v>
      </c>
      <c r="W768" s="6">
        <v>44602</v>
      </c>
      <c r="X768" s="7">
        <v>0.495</v>
      </c>
      <c r="Y768" s="1" t="s">
        <v>4860</v>
      </c>
      <c r="Z768" s="5">
        <v>340</v>
      </c>
      <c r="AA768" s="1" t="s">
        <v>3403</v>
      </c>
      <c r="AB768" s="1"/>
      <c r="AC768" s="1"/>
      <c r="AD768" s="1"/>
      <c r="AE768" s="1" t="s">
        <v>3768</v>
      </c>
      <c r="AF768" s="1" t="s">
        <v>9</v>
      </c>
      <c r="AG768" s="4">
        <v>1</v>
      </c>
      <c r="AH768" s="1"/>
      <c r="AI768" s="6">
        <v>44926</v>
      </c>
    </row>
    <row r="769" spans="1:35" x14ac:dyDescent="0.3">
      <c r="A769" s="1" t="s">
        <v>1959</v>
      </c>
      <c r="B769" s="2" t="str">
        <f>HYPERLINK("https://my.zakupki.prom.ua/remote/dispatcher/state_purchase_view/34683973")</f>
        <v>https://my.zakupki.prom.ua/remote/dispatcher/state_purchase_view/34683973</v>
      </c>
      <c r="C769" s="1" t="s">
        <v>3386</v>
      </c>
      <c r="D769" s="1" t="s">
        <v>373</v>
      </c>
      <c r="E769" s="1" t="s">
        <v>4903</v>
      </c>
      <c r="F769" s="1" t="s">
        <v>4903</v>
      </c>
      <c r="G769" s="1" t="s">
        <v>4903</v>
      </c>
      <c r="H769" s="1" t="s">
        <v>343</v>
      </c>
      <c r="I769" s="1" t="s">
        <v>3363</v>
      </c>
      <c r="J769" s="5">
        <v>167310</v>
      </c>
      <c r="K769" s="1" t="s">
        <v>3394</v>
      </c>
      <c r="L769" s="5">
        <v>836.55</v>
      </c>
      <c r="M769" s="1" t="s">
        <v>2308</v>
      </c>
      <c r="N769" s="1" t="s">
        <v>3403</v>
      </c>
      <c r="O769" s="1" t="s">
        <v>2521</v>
      </c>
      <c r="P769" s="1" t="s">
        <v>3956</v>
      </c>
      <c r="Q769" s="1" t="s">
        <v>3262</v>
      </c>
      <c r="R769" s="1" t="s">
        <v>4348</v>
      </c>
      <c r="S769" s="1" t="s">
        <v>4937</v>
      </c>
      <c r="T769" s="6">
        <v>44593</v>
      </c>
      <c r="U769" s="6">
        <v>44601</v>
      </c>
      <c r="V769" s="7">
        <v>0.33333333333333331</v>
      </c>
      <c r="W769" s="6">
        <v>44608</v>
      </c>
      <c r="X769" s="7">
        <v>0.375</v>
      </c>
      <c r="Y769" s="1" t="s">
        <v>4860</v>
      </c>
      <c r="Z769" s="5">
        <v>340</v>
      </c>
      <c r="AA769" s="1" t="s">
        <v>3403</v>
      </c>
      <c r="AB769" s="1"/>
      <c r="AC769" s="1"/>
      <c r="AD769" s="1"/>
      <c r="AE769" s="1" t="s">
        <v>3786</v>
      </c>
      <c r="AF769" s="1" t="s">
        <v>9</v>
      </c>
      <c r="AG769" s="4">
        <v>2</v>
      </c>
      <c r="AH769" s="1"/>
      <c r="AI769" s="6">
        <v>44926</v>
      </c>
    </row>
    <row r="770" spans="1:35" x14ac:dyDescent="0.3">
      <c r="A770" s="1" t="s">
        <v>1957</v>
      </c>
      <c r="B770" s="2" t="str">
        <f>HYPERLINK("https://my.zakupki.prom.ua/remote/dispatcher/state_purchase_view/34683956")</f>
        <v>https://my.zakupki.prom.ua/remote/dispatcher/state_purchase_view/34683956</v>
      </c>
      <c r="C770" s="1" t="s">
        <v>2789</v>
      </c>
      <c r="D770" s="1" t="s">
        <v>719</v>
      </c>
      <c r="E770" s="1" t="s">
        <v>4903</v>
      </c>
      <c r="F770" s="1" t="s">
        <v>4903</v>
      </c>
      <c r="G770" s="1" t="s">
        <v>4903</v>
      </c>
      <c r="H770" s="1" t="s">
        <v>707</v>
      </c>
      <c r="I770" s="1" t="s">
        <v>2938</v>
      </c>
      <c r="J770" s="5">
        <v>125327.9</v>
      </c>
      <c r="K770" s="1" t="s">
        <v>3394</v>
      </c>
      <c r="L770" s="5">
        <v>626.64</v>
      </c>
      <c r="M770" s="1" t="s">
        <v>2308</v>
      </c>
      <c r="N770" s="1" t="s">
        <v>3983</v>
      </c>
      <c r="O770" s="1" t="s">
        <v>2521</v>
      </c>
      <c r="P770" s="1" t="s">
        <v>3956</v>
      </c>
      <c r="Q770" s="1" t="s">
        <v>2497</v>
      </c>
      <c r="R770" s="1" t="s">
        <v>4538</v>
      </c>
      <c r="S770" s="1" t="s">
        <v>4937</v>
      </c>
      <c r="T770" s="6">
        <v>44593</v>
      </c>
      <c r="U770" s="6">
        <v>44599</v>
      </c>
      <c r="V770" s="7">
        <v>0.625</v>
      </c>
      <c r="W770" s="6">
        <v>44602</v>
      </c>
      <c r="X770" s="7">
        <v>0.33333333333333331</v>
      </c>
      <c r="Y770" s="1" t="s">
        <v>4860</v>
      </c>
      <c r="Z770" s="5">
        <v>340</v>
      </c>
      <c r="AA770" s="1" t="s">
        <v>3403</v>
      </c>
      <c r="AB770" s="1"/>
      <c r="AC770" s="1"/>
      <c r="AD770" s="1"/>
      <c r="AE770" s="1" t="s">
        <v>3802</v>
      </c>
      <c r="AF770" s="1" t="s">
        <v>9</v>
      </c>
      <c r="AG770" s="1" t="s">
        <v>9</v>
      </c>
      <c r="AH770" s="1"/>
      <c r="AI770" s="6">
        <v>44926</v>
      </c>
    </row>
    <row r="771" spans="1:35" x14ac:dyDescent="0.3">
      <c r="A771" s="1" t="s">
        <v>1956</v>
      </c>
      <c r="B771" s="2" t="str">
        <f>HYPERLINK("https://my.zakupki.prom.ua/remote/dispatcher/state_purchase_view/34683923")</f>
        <v>https://my.zakupki.prom.ua/remote/dispatcher/state_purchase_view/34683923</v>
      </c>
      <c r="C771" s="1" t="s">
        <v>2410</v>
      </c>
      <c r="D771" s="1" t="s">
        <v>373</v>
      </c>
      <c r="E771" s="1" t="s">
        <v>4903</v>
      </c>
      <c r="F771" s="1" t="s">
        <v>4903</v>
      </c>
      <c r="G771" s="1" t="s">
        <v>4903</v>
      </c>
      <c r="H771" s="1" t="s">
        <v>930</v>
      </c>
      <c r="I771" s="1" t="s">
        <v>2727</v>
      </c>
      <c r="J771" s="5">
        <v>199500</v>
      </c>
      <c r="K771" s="1" t="s">
        <v>3394</v>
      </c>
      <c r="L771" s="5">
        <v>997.5</v>
      </c>
      <c r="M771" s="1" t="s">
        <v>2308</v>
      </c>
      <c r="N771" s="1" t="s">
        <v>3983</v>
      </c>
      <c r="O771" s="1" t="s">
        <v>2521</v>
      </c>
      <c r="P771" s="1" t="s">
        <v>3956</v>
      </c>
      <c r="Q771" s="1" t="s">
        <v>3504</v>
      </c>
      <c r="R771" s="1" t="s">
        <v>4251</v>
      </c>
      <c r="S771" s="1" t="s">
        <v>4937</v>
      </c>
      <c r="T771" s="6">
        <v>44593</v>
      </c>
      <c r="U771" s="6">
        <v>44599</v>
      </c>
      <c r="V771" s="7">
        <v>0.45833333333333331</v>
      </c>
      <c r="W771" s="6">
        <v>44602</v>
      </c>
      <c r="X771" s="7">
        <v>0.375</v>
      </c>
      <c r="Y771" s="1" t="s">
        <v>4860</v>
      </c>
      <c r="Z771" s="5">
        <v>340</v>
      </c>
      <c r="AA771" s="1" t="s">
        <v>3403</v>
      </c>
      <c r="AB771" s="1"/>
      <c r="AC771" s="1"/>
      <c r="AD771" s="1"/>
      <c r="AE771" s="1" t="s">
        <v>3765</v>
      </c>
      <c r="AF771" s="1" t="s">
        <v>9</v>
      </c>
      <c r="AG771" s="4">
        <v>4</v>
      </c>
      <c r="AH771" s="1"/>
      <c r="AI771" s="6">
        <v>44926</v>
      </c>
    </row>
    <row r="772" spans="1:35" x14ac:dyDescent="0.3">
      <c r="A772" s="1" t="s">
        <v>1955</v>
      </c>
      <c r="B772" s="2" t="str">
        <f>HYPERLINK("https://my.zakupki.prom.ua/remote/dispatcher/state_purchase_view/34683900")</f>
        <v>https://my.zakupki.prom.ua/remote/dispatcher/state_purchase_view/34683900</v>
      </c>
      <c r="C772" s="1" t="s">
        <v>3280</v>
      </c>
      <c r="D772" s="1" t="s">
        <v>441</v>
      </c>
      <c r="E772" s="1" t="s">
        <v>4903</v>
      </c>
      <c r="F772" s="1" t="s">
        <v>4903</v>
      </c>
      <c r="G772" s="1" t="s">
        <v>4903</v>
      </c>
      <c r="H772" s="1" t="s">
        <v>574</v>
      </c>
      <c r="I772" s="1" t="s">
        <v>3200</v>
      </c>
      <c r="J772" s="5">
        <v>245100</v>
      </c>
      <c r="K772" s="1" t="s">
        <v>3394</v>
      </c>
      <c r="L772" s="5">
        <v>2451</v>
      </c>
      <c r="M772" s="1" t="s">
        <v>2308</v>
      </c>
      <c r="N772" s="1" t="s">
        <v>3983</v>
      </c>
      <c r="O772" s="1" t="s">
        <v>2521</v>
      </c>
      <c r="P772" s="1" t="s">
        <v>2515</v>
      </c>
      <c r="Q772" s="1" t="s">
        <v>3238</v>
      </c>
      <c r="R772" s="1" t="s">
        <v>4424</v>
      </c>
      <c r="S772" s="1" t="s">
        <v>4971</v>
      </c>
      <c r="T772" s="6">
        <v>44593</v>
      </c>
      <c r="U772" s="6">
        <v>44593</v>
      </c>
      <c r="V772" s="7">
        <v>0.4945330268287037</v>
      </c>
      <c r="W772" s="6">
        <v>44609</v>
      </c>
      <c r="X772" s="7">
        <v>0.45833333333333331</v>
      </c>
      <c r="Y772" s="8">
        <v>44610.479143518518</v>
      </c>
      <c r="Z772" s="5">
        <v>510</v>
      </c>
      <c r="AA772" s="1" t="s">
        <v>3403</v>
      </c>
      <c r="AB772" s="1"/>
      <c r="AC772" s="1"/>
      <c r="AD772" s="1"/>
      <c r="AE772" s="1" t="s">
        <v>3788</v>
      </c>
      <c r="AF772" s="1" t="s">
        <v>9</v>
      </c>
      <c r="AG772" s="4">
        <v>2</v>
      </c>
      <c r="AH772" s="1"/>
      <c r="AI772" s="6">
        <v>44925</v>
      </c>
    </row>
    <row r="773" spans="1:35" x14ac:dyDescent="0.3">
      <c r="A773" s="1" t="s">
        <v>1954</v>
      </c>
      <c r="B773" s="2" t="str">
        <f>HYPERLINK("https://my.zakupki.prom.ua/remote/dispatcher/state_purchase_view/34679578")</f>
        <v>https://my.zakupki.prom.ua/remote/dispatcher/state_purchase_view/34679578</v>
      </c>
      <c r="C773" s="1" t="s">
        <v>2670</v>
      </c>
      <c r="D773" s="1" t="s">
        <v>454</v>
      </c>
      <c r="E773" s="1" t="s">
        <v>4903</v>
      </c>
      <c r="F773" s="1" t="s">
        <v>4903</v>
      </c>
      <c r="G773" s="1" t="s">
        <v>4903</v>
      </c>
      <c r="H773" s="1" t="s">
        <v>66</v>
      </c>
      <c r="I773" s="1" t="s">
        <v>3124</v>
      </c>
      <c r="J773" s="5">
        <v>312000</v>
      </c>
      <c r="K773" s="1" t="s">
        <v>3394</v>
      </c>
      <c r="L773" s="5">
        <v>1560</v>
      </c>
      <c r="M773" s="1" t="s">
        <v>2308</v>
      </c>
      <c r="N773" s="1" t="s">
        <v>3983</v>
      </c>
      <c r="O773" s="1" t="s">
        <v>1297</v>
      </c>
      <c r="P773" s="1" t="s">
        <v>2515</v>
      </c>
      <c r="Q773" s="1" t="s">
        <v>2761</v>
      </c>
      <c r="R773" s="1" t="s">
        <v>4088</v>
      </c>
      <c r="S773" s="1" t="s">
        <v>4971</v>
      </c>
      <c r="T773" s="6">
        <v>44593</v>
      </c>
      <c r="U773" s="6">
        <v>44593</v>
      </c>
      <c r="V773" s="7">
        <v>0.49418875650462957</v>
      </c>
      <c r="W773" s="6">
        <v>44609</v>
      </c>
      <c r="X773" s="7">
        <v>0.33333333333333331</v>
      </c>
      <c r="Y773" s="8">
        <v>44610.570127314815</v>
      </c>
      <c r="Z773" s="5">
        <v>510</v>
      </c>
      <c r="AA773" s="1" t="s">
        <v>3403</v>
      </c>
      <c r="AB773" s="1"/>
      <c r="AC773" s="1"/>
      <c r="AD773" s="1"/>
      <c r="AE773" s="1" t="s">
        <v>3775</v>
      </c>
      <c r="AF773" s="1" t="s">
        <v>9</v>
      </c>
      <c r="AG773" s="4">
        <v>8</v>
      </c>
      <c r="AH773" s="1"/>
      <c r="AI773" s="6">
        <v>44926</v>
      </c>
    </row>
    <row r="774" spans="1:35" x14ac:dyDescent="0.3">
      <c r="A774" s="1" t="s">
        <v>1953</v>
      </c>
      <c r="B774" s="2" t="str">
        <f>HYPERLINK("https://my.zakupki.prom.ua/remote/dispatcher/state_purchase_view/34683877")</f>
        <v>https://my.zakupki.prom.ua/remote/dispatcher/state_purchase_view/34683877</v>
      </c>
      <c r="C774" s="1" t="s">
        <v>2474</v>
      </c>
      <c r="D774" s="1" t="s">
        <v>1266</v>
      </c>
      <c r="E774" s="4">
        <v>1</v>
      </c>
      <c r="F774" s="5">
        <v>80000</v>
      </c>
      <c r="G774" s="1" t="s">
        <v>4906</v>
      </c>
      <c r="H774" s="1" t="s">
        <v>925</v>
      </c>
      <c r="I774" s="1" t="s">
        <v>3291</v>
      </c>
      <c r="J774" s="5">
        <v>80000</v>
      </c>
      <c r="K774" s="1" t="s">
        <v>3394</v>
      </c>
      <c r="L774" s="5">
        <v>400</v>
      </c>
      <c r="M774" s="1" t="s">
        <v>2308</v>
      </c>
      <c r="N774" s="1" t="s">
        <v>3403</v>
      </c>
      <c r="O774" s="1" t="s">
        <v>2521</v>
      </c>
      <c r="P774" s="1" t="s">
        <v>3956</v>
      </c>
      <c r="Q774" s="1" t="s">
        <v>2808</v>
      </c>
      <c r="R774" s="1" t="s">
        <v>4250</v>
      </c>
      <c r="S774" s="1" t="s">
        <v>4937</v>
      </c>
      <c r="T774" s="6">
        <v>44593</v>
      </c>
      <c r="U774" s="6">
        <v>44599</v>
      </c>
      <c r="V774" s="7">
        <v>0.49166666666666664</v>
      </c>
      <c r="W774" s="6">
        <v>44602</v>
      </c>
      <c r="X774" s="7">
        <v>0.48749999999999999</v>
      </c>
      <c r="Y774" s="1" t="s">
        <v>4860</v>
      </c>
      <c r="Z774" s="5">
        <v>340</v>
      </c>
      <c r="AA774" s="1" t="s">
        <v>3403</v>
      </c>
      <c r="AB774" s="1"/>
      <c r="AC774" s="1"/>
      <c r="AD774" s="1"/>
      <c r="AE774" s="1" t="s">
        <v>3750</v>
      </c>
      <c r="AF774" s="1" t="s">
        <v>9</v>
      </c>
      <c r="AG774" s="1" t="s">
        <v>9</v>
      </c>
      <c r="AH774" s="1"/>
      <c r="AI774" s="6">
        <v>44926</v>
      </c>
    </row>
    <row r="775" spans="1:35" x14ac:dyDescent="0.3">
      <c r="A775" s="1" t="s">
        <v>1952</v>
      </c>
      <c r="B775" s="2" t="str">
        <f>HYPERLINK("https://my.zakupki.prom.ua/remote/dispatcher/state_purchase_view/34679971")</f>
        <v>https://my.zakupki.prom.ua/remote/dispatcher/state_purchase_view/34679971</v>
      </c>
      <c r="C775" s="1" t="s">
        <v>4022</v>
      </c>
      <c r="D775" s="1" t="s">
        <v>1223</v>
      </c>
      <c r="E775" s="1" t="s">
        <v>4903</v>
      </c>
      <c r="F775" s="1" t="s">
        <v>4903</v>
      </c>
      <c r="G775" s="1" t="s">
        <v>4903</v>
      </c>
      <c r="H775" s="1" t="s">
        <v>983</v>
      </c>
      <c r="I775" s="1" t="s">
        <v>2347</v>
      </c>
      <c r="J775" s="5">
        <v>169744</v>
      </c>
      <c r="K775" s="1" t="s">
        <v>3394</v>
      </c>
      <c r="L775" s="5">
        <v>3390</v>
      </c>
      <c r="M775" s="1" t="s">
        <v>2308</v>
      </c>
      <c r="N775" s="1" t="s">
        <v>3983</v>
      </c>
      <c r="O775" s="1" t="s">
        <v>2521</v>
      </c>
      <c r="P775" s="1" t="s">
        <v>2516</v>
      </c>
      <c r="Q775" s="1" t="s">
        <v>3504</v>
      </c>
      <c r="R775" s="1" t="s">
        <v>4081</v>
      </c>
      <c r="S775" s="1" t="s">
        <v>4971</v>
      </c>
      <c r="T775" s="6">
        <v>44593</v>
      </c>
      <c r="U775" s="6">
        <v>44593</v>
      </c>
      <c r="V775" s="7">
        <v>0.49402950832175924</v>
      </c>
      <c r="W775" s="6">
        <v>44624</v>
      </c>
      <c r="X775" s="7">
        <v>0.375</v>
      </c>
      <c r="Y775" s="8">
        <v>44662.642291666663</v>
      </c>
      <c r="Z775" s="5">
        <v>340</v>
      </c>
      <c r="AA775" s="1" t="s">
        <v>3403</v>
      </c>
      <c r="AB775" s="1"/>
      <c r="AC775" s="1"/>
      <c r="AD775" s="1"/>
      <c r="AE775" s="1" t="s">
        <v>3758</v>
      </c>
      <c r="AF775" s="1" t="s">
        <v>9</v>
      </c>
      <c r="AG775" s="4">
        <v>22</v>
      </c>
      <c r="AH775" s="1"/>
      <c r="AI775" s="6">
        <v>44926</v>
      </c>
    </row>
    <row r="776" spans="1:35" x14ac:dyDescent="0.3">
      <c r="A776" s="1" t="s">
        <v>1951</v>
      </c>
      <c r="B776" s="2" t="str">
        <f>HYPERLINK("https://my.zakupki.prom.ua/remote/dispatcher/state_purchase_view/34683847")</f>
        <v>https://my.zakupki.prom.ua/remote/dispatcher/state_purchase_view/34683847</v>
      </c>
      <c r="C776" s="1" t="s">
        <v>3879</v>
      </c>
      <c r="D776" s="1" t="s">
        <v>1168</v>
      </c>
      <c r="E776" s="4">
        <v>1</v>
      </c>
      <c r="F776" s="5">
        <v>50550</v>
      </c>
      <c r="G776" s="1" t="s">
        <v>4940</v>
      </c>
      <c r="H776" s="1" t="s">
        <v>52</v>
      </c>
      <c r="I776" s="1" t="s">
        <v>3134</v>
      </c>
      <c r="J776" s="5">
        <v>50550</v>
      </c>
      <c r="K776" s="1" t="s">
        <v>3394</v>
      </c>
      <c r="L776" s="5">
        <v>252.75</v>
      </c>
      <c r="M776" s="1" t="s">
        <v>2308</v>
      </c>
      <c r="N776" s="1" t="s">
        <v>3983</v>
      </c>
      <c r="O776" s="1" t="s">
        <v>2521</v>
      </c>
      <c r="P776" s="1" t="s">
        <v>3956</v>
      </c>
      <c r="Q776" s="1" t="s">
        <v>2756</v>
      </c>
      <c r="R776" s="1" t="s">
        <v>4094</v>
      </c>
      <c r="S776" s="1" t="s">
        <v>4937</v>
      </c>
      <c r="T776" s="6">
        <v>44593</v>
      </c>
      <c r="U776" s="6">
        <v>44599</v>
      </c>
      <c r="V776" s="7">
        <v>0.45833333333333331</v>
      </c>
      <c r="W776" s="6">
        <v>44602</v>
      </c>
      <c r="X776" s="7">
        <v>0.41666666666666669</v>
      </c>
      <c r="Y776" s="1" t="s">
        <v>4860</v>
      </c>
      <c r="Z776" s="5">
        <v>340</v>
      </c>
      <c r="AA776" s="1" t="s">
        <v>3403</v>
      </c>
      <c r="AB776" s="1"/>
      <c r="AC776" s="1"/>
      <c r="AD776" s="1"/>
      <c r="AE776" s="1" t="s">
        <v>3818</v>
      </c>
      <c r="AF776" s="1" t="s">
        <v>9</v>
      </c>
      <c r="AG776" s="4">
        <v>3</v>
      </c>
      <c r="AH776" s="1"/>
      <c r="AI776" s="6">
        <v>44926</v>
      </c>
    </row>
    <row r="777" spans="1:35" x14ac:dyDescent="0.3">
      <c r="A777" s="1" t="s">
        <v>1950</v>
      </c>
      <c r="B777" s="2" t="str">
        <f>HYPERLINK("https://my.zakupki.prom.ua/remote/dispatcher/state_purchase_view/34683845")</f>
        <v>https://my.zakupki.prom.ua/remote/dispatcher/state_purchase_view/34683845</v>
      </c>
      <c r="C777" s="1" t="s">
        <v>3614</v>
      </c>
      <c r="D777" s="1" t="s">
        <v>1207</v>
      </c>
      <c r="E777" s="4">
        <v>1</v>
      </c>
      <c r="F777" s="5">
        <v>35000</v>
      </c>
      <c r="G777" s="1" t="s">
        <v>4940</v>
      </c>
      <c r="H777" s="1" t="s">
        <v>862</v>
      </c>
      <c r="I777" s="1" t="s">
        <v>2943</v>
      </c>
      <c r="J777" s="5">
        <v>35000</v>
      </c>
      <c r="K777" s="1" t="s">
        <v>3394</v>
      </c>
      <c r="L777" s="5">
        <v>350</v>
      </c>
      <c r="M777" s="1" t="s">
        <v>2308</v>
      </c>
      <c r="N777" s="1" t="s">
        <v>3983</v>
      </c>
      <c r="O777" s="1" t="s">
        <v>2521</v>
      </c>
      <c r="P777" s="1" t="s">
        <v>3956</v>
      </c>
      <c r="Q777" s="1" t="s">
        <v>3262</v>
      </c>
      <c r="R777" s="1" t="s">
        <v>4246</v>
      </c>
      <c r="S777" s="1" t="s">
        <v>4937</v>
      </c>
      <c r="T777" s="6">
        <v>44593</v>
      </c>
      <c r="U777" s="6">
        <v>44599</v>
      </c>
      <c r="V777" s="7">
        <v>0.33333333333333331</v>
      </c>
      <c r="W777" s="6">
        <v>44602</v>
      </c>
      <c r="X777" s="7">
        <v>0.33333333333333331</v>
      </c>
      <c r="Y777" s="1" t="s">
        <v>4860</v>
      </c>
      <c r="Z777" s="5">
        <v>119</v>
      </c>
      <c r="AA777" s="1" t="s">
        <v>3403</v>
      </c>
      <c r="AB777" s="1"/>
      <c r="AC777" s="1"/>
      <c r="AD777" s="1"/>
      <c r="AE777" s="1" t="s">
        <v>3714</v>
      </c>
      <c r="AF777" s="1" t="s">
        <v>9</v>
      </c>
      <c r="AG777" s="4">
        <v>2</v>
      </c>
      <c r="AH777" s="1"/>
      <c r="AI777" s="6">
        <v>44926</v>
      </c>
    </row>
    <row r="778" spans="1:35" x14ac:dyDescent="0.3">
      <c r="A778" s="1" t="s">
        <v>1949</v>
      </c>
      <c r="B778" s="2" t="str">
        <f>HYPERLINK("https://my.zakupki.prom.ua/remote/dispatcher/state_purchase_view/34683839")</f>
        <v>https://my.zakupki.prom.ua/remote/dispatcher/state_purchase_view/34683839</v>
      </c>
      <c r="C778" s="1" t="s">
        <v>3328</v>
      </c>
      <c r="D778" s="1" t="s">
        <v>1129</v>
      </c>
      <c r="E778" s="4">
        <v>1</v>
      </c>
      <c r="F778" s="5">
        <v>150127.81</v>
      </c>
      <c r="G778" s="1" t="s">
        <v>4991</v>
      </c>
      <c r="H778" s="1" t="s">
        <v>533</v>
      </c>
      <c r="I778" s="1" t="s">
        <v>4033</v>
      </c>
      <c r="J778" s="5">
        <v>150127.81</v>
      </c>
      <c r="K778" s="1" t="s">
        <v>3394</v>
      </c>
      <c r="L778" s="5">
        <v>750.64</v>
      </c>
      <c r="M778" s="1" t="s">
        <v>2308</v>
      </c>
      <c r="N778" s="1" t="s">
        <v>3983</v>
      </c>
      <c r="O778" s="1" t="s">
        <v>2521</v>
      </c>
      <c r="P778" s="1" t="s">
        <v>3956</v>
      </c>
      <c r="Q778" s="1" t="s">
        <v>3992</v>
      </c>
      <c r="R778" s="1" t="s">
        <v>4157</v>
      </c>
      <c r="S778" s="1" t="s">
        <v>4937</v>
      </c>
      <c r="T778" s="6">
        <v>44593</v>
      </c>
      <c r="U778" s="6">
        <v>44599</v>
      </c>
      <c r="V778" s="7">
        <v>0</v>
      </c>
      <c r="W778" s="6">
        <v>44602</v>
      </c>
      <c r="X778" s="7">
        <v>0</v>
      </c>
      <c r="Y778" s="1" t="s">
        <v>4860</v>
      </c>
      <c r="Z778" s="5">
        <v>340</v>
      </c>
      <c r="AA778" s="1" t="s">
        <v>3403</v>
      </c>
      <c r="AB778" s="1"/>
      <c r="AC778" s="1"/>
      <c r="AD778" s="1"/>
      <c r="AE778" s="1" t="s">
        <v>3775</v>
      </c>
      <c r="AF778" s="1" t="s">
        <v>9</v>
      </c>
      <c r="AG778" s="1" t="s">
        <v>9</v>
      </c>
      <c r="AH778" s="6">
        <v>44603</v>
      </c>
      <c r="AI778" s="6">
        <v>44620</v>
      </c>
    </row>
    <row r="779" spans="1:35" x14ac:dyDescent="0.3">
      <c r="A779" s="1" t="s">
        <v>1946</v>
      </c>
      <c r="B779" s="2" t="str">
        <f>HYPERLINK("https://my.zakupki.prom.ua/remote/dispatcher/state_purchase_view/34683137")</f>
        <v>https://my.zakupki.prom.ua/remote/dispatcher/state_purchase_view/34683137</v>
      </c>
      <c r="C779" s="1" t="s">
        <v>4905</v>
      </c>
      <c r="D779" s="1" t="s">
        <v>727</v>
      </c>
      <c r="E779" s="1" t="s">
        <v>4903</v>
      </c>
      <c r="F779" s="1" t="s">
        <v>4903</v>
      </c>
      <c r="G779" s="1" t="s">
        <v>4903</v>
      </c>
      <c r="H779" s="1" t="s">
        <v>923</v>
      </c>
      <c r="I779" s="1" t="s">
        <v>3174</v>
      </c>
      <c r="J779" s="5">
        <v>366000</v>
      </c>
      <c r="K779" s="1" t="s">
        <v>3394</v>
      </c>
      <c r="L779" s="5">
        <v>1830</v>
      </c>
      <c r="M779" s="1" t="s">
        <v>2308</v>
      </c>
      <c r="N779" s="1" t="s">
        <v>3983</v>
      </c>
      <c r="O779" s="1" t="s">
        <v>2521</v>
      </c>
      <c r="P779" s="1" t="s">
        <v>2515</v>
      </c>
      <c r="Q779" s="1" t="s">
        <v>4794</v>
      </c>
      <c r="R779" s="1" t="s">
        <v>4519</v>
      </c>
      <c r="S779" s="1" t="s">
        <v>4971</v>
      </c>
      <c r="T779" s="6">
        <v>44593</v>
      </c>
      <c r="U779" s="6">
        <v>44593</v>
      </c>
      <c r="V779" s="7">
        <v>0.49287298409722224</v>
      </c>
      <c r="W779" s="6">
        <v>44609</v>
      </c>
      <c r="X779" s="7">
        <v>4.1666666666666664E-2</v>
      </c>
      <c r="Y779" s="8">
        <v>44610.546273148146</v>
      </c>
      <c r="Z779" s="5">
        <v>510</v>
      </c>
      <c r="AA779" s="1" t="s">
        <v>3403</v>
      </c>
      <c r="AB779" s="1"/>
      <c r="AC779" s="1"/>
      <c r="AD779" s="1"/>
      <c r="AE779" s="1" t="s">
        <v>3799</v>
      </c>
      <c r="AF779" s="1" t="s">
        <v>9</v>
      </c>
      <c r="AG779" s="4">
        <v>5</v>
      </c>
      <c r="AH779" s="1"/>
      <c r="AI779" s="6">
        <v>44926</v>
      </c>
    </row>
    <row r="780" spans="1:35" x14ac:dyDescent="0.3">
      <c r="A780" s="1" t="s">
        <v>1945</v>
      </c>
      <c r="B780" s="2" t="str">
        <f>HYPERLINK("https://my.zakupki.prom.ua/remote/dispatcher/state_purchase_view/34683499")</f>
        <v>https://my.zakupki.prom.ua/remote/dispatcher/state_purchase_view/34683499</v>
      </c>
      <c r="C780" s="1" t="s">
        <v>2775</v>
      </c>
      <c r="D780" s="1" t="s">
        <v>387</v>
      </c>
      <c r="E780" s="4">
        <v>12000</v>
      </c>
      <c r="F780" s="5">
        <v>5.75</v>
      </c>
      <c r="G780" s="1" t="s">
        <v>3235</v>
      </c>
      <c r="H780" s="1" t="s">
        <v>628</v>
      </c>
      <c r="I780" s="1" t="s">
        <v>4755</v>
      </c>
      <c r="J780" s="5">
        <v>69000</v>
      </c>
      <c r="K780" s="1" t="s">
        <v>3394</v>
      </c>
      <c r="L780" s="5">
        <v>345</v>
      </c>
      <c r="M780" s="1" t="s">
        <v>2308</v>
      </c>
      <c r="N780" s="1" t="s">
        <v>3983</v>
      </c>
      <c r="O780" s="1" t="s">
        <v>2521</v>
      </c>
      <c r="P780" s="1" t="s">
        <v>3956</v>
      </c>
      <c r="Q780" s="1" t="s">
        <v>3426</v>
      </c>
      <c r="R780" s="1" t="s">
        <v>4573</v>
      </c>
      <c r="S780" s="1" t="s">
        <v>4937</v>
      </c>
      <c r="T780" s="6">
        <v>44593</v>
      </c>
      <c r="U780" s="6">
        <v>44599</v>
      </c>
      <c r="V780" s="7">
        <v>0.33333333333333331</v>
      </c>
      <c r="W780" s="6">
        <v>44602</v>
      </c>
      <c r="X780" s="7">
        <v>0.33333333333333331</v>
      </c>
      <c r="Y780" s="1" t="s">
        <v>4860</v>
      </c>
      <c r="Z780" s="5">
        <v>340</v>
      </c>
      <c r="AA780" s="1" t="s">
        <v>3403</v>
      </c>
      <c r="AB780" s="1"/>
      <c r="AC780" s="1"/>
      <c r="AD780" s="1"/>
      <c r="AE780" s="1" t="s">
        <v>3797</v>
      </c>
      <c r="AF780" s="1" t="s">
        <v>9</v>
      </c>
      <c r="AG780" s="4">
        <v>1</v>
      </c>
      <c r="AH780" s="1"/>
      <c r="AI780" s="6">
        <v>44926</v>
      </c>
    </row>
    <row r="781" spans="1:35" x14ac:dyDescent="0.3">
      <c r="A781" s="1" t="s">
        <v>1944</v>
      </c>
      <c r="B781" s="2" t="str">
        <f>HYPERLINK("https://my.zakupki.prom.ua/remote/dispatcher/state_purchase_view/34683495")</f>
        <v>https://my.zakupki.prom.ua/remote/dispatcher/state_purchase_view/34683495</v>
      </c>
      <c r="C781" s="1" t="s">
        <v>3285</v>
      </c>
      <c r="D781" s="1" t="s">
        <v>441</v>
      </c>
      <c r="E781" s="1" t="s">
        <v>4903</v>
      </c>
      <c r="F781" s="1" t="s">
        <v>4903</v>
      </c>
      <c r="G781" s="1" t="s">
        <v>4903</v>
      </c>
      <c r="H781" s="1" t="s">
        <v>833</v>
      </c>
      <c r="I781" s="1" t="s">
        <v>2461</v>
      </c>
      <c r="J781" s="5">
        <v>61000</v>
      </c>
      <c r="K781" s="1" t="s">
        <v>3394</v>
      </c>
      <c r="L781" s="5">
        <v>305</v>
      </c>
      <c r="M781" s="1" t="s">
        <v>2308</v>
      </c>
      <c r="N781" s="1" t="s">
        <v>3983</v>
      </c>
      <c r="O781" s="1" t="s">
        <v>2521</v>
      </c>
      <c r="P781" s="1" t="s">
        <v>3956</v>
      </c>
      <c r="Q781" s="1" t="s">
        <v>2497</v>
      </c>
      <c r="R781" s="1" t="s">
        <v>4578</v>
      </c>
      <c r="S781" s="1" t="s">
        <v>4937</v>
      </c>
      <c r="T781" s="6">
        <v>44593</v>
      </c>
      <c r="U781" s="6">
        <v>44599</v>
      </c>
      <c r="V781" s="7">
        <v>0</v>
      </c>
      <c r="W781" s="6">
        <v>44602</v>
      </c>
      <c r="X781" s="7">
        <v>0</v>
      </c>
      <c r="Y781" s="1" t="s">
        <v>4860</v>
      </c>
      <c r="Z781" s="5">
        <v>340</v>
      </c>
      <c r="AA781" s="1" t="s">
        <v>3403</v>
      </c>
      <c r="AB781" s="1"/>
      <c r="AC781" s="1"/>
      <c r="AD781" s="1"/>
      <c r="AE781" s="1" t="s">
        <v>3803</v>
      </c>
      <c r="AF781" s="1" t="s">
        <v>9</v>
      </c>
      <c r="AG781" s="1" t="s">
        <v>9</v>
      </c>
      <c r="AH781" s="1"/>
      <c r="AI781" s="6">
        <v>44743</v>
      </c>
    </row>
    <row r="782" spans="1:35" x14ac:dyDescent="0.3">
      <c r="A782" s="1" t="s">
        <v>1356</v>
      </c>
      <c r="B782" s="2" t="str">
        <f>HYPERLINK("https://my.zakupki.prom.ua/remote/dispatcher/state_purchase_view/34683459")</f>
        <v>https://my.zakupki.prom.ua/remote/dispatcher/state_purchase_view/34683459</v>
      </c>
      <c r="C782" s="1" t="s">
        <v>2662</v>
      </c>
      <c r="D782" s="1" t="s">
        <v>433</v>
      </c>
      <c r="E782" s="1" t="s">
        <v>4903</v>
      </c>
      <c r="F782" s="1" t="s">
        <v>4903</v>
      </c>
      <c r="G782" s="1" t="s">
        <v>4903</v>
      </c>
      <c r="H782" s="1" t="s">
        <v>239</v>
      </c>
      <c r="I782" s="1" t="s">
        <v>2984</v>
      </c>
      <c r="J782" s="5">
        <v>390750.11</v>
      </c>
      <c r="K782" s="1" t="s">
        <v>3394</v>
      </c>
      <c r="L782" s="5">
        <v>3907.5</v>
      </c>
      <c r="M782" s="1" t="s">
        <v>2308</v>
      </c>
      <c r="N782" s="1" t="s">
        <v>3983</v>
      </c>
      <c r="O782" s="1" t="s">
        <v>692</v>
      </c>
      <c r="P782" s="1" t="s">
        <v>2515</v>
      </c>
      <c r="Q782" s="1" t="s">
        <v>3325</v>
      </c>
      <c r="R782" s="1" t="s">
        <v>4225</v>
      </c>
      <c r="S782" s="1" t="s">
        <v>4971</v>
      </c>
      <c r="T782" s="6">
        <v>44593</v>
      </c>
      <c r="U782" s="6">
        <v>44593</v>
      </c>
      <c r="V782" s="7">
        <v>0.4888978350231481</v>
      </c>
      <c r="W782" s="6">
        <v>44609</v>
      </c>
      <c r="X782" s="7">
        <v>0.5</v>
      </c>
      <c r="Y782" s="8">
        <v>44610.516643518517</v>
      </c>
      <c r="Z782" s="5">
        <v>510</v>
      </c>
      <c r="AA782" s="1" t="s">
        <v>3403</v>
      </c>
      <c r="AB782" s="1"/>
      <c r="AC782" s="1"/>
      <c r="AD782" s="1"/>
      <c r="AE782" s="1" t="s">
        <v>3781</v>
      </c>
      <c r="AF782" s="1" t="s">
        <v>9</v>
      </c>
      <c r="AG782" s="1" t="s">
        <v>9</v>
      </c>
      <c r="AH782" s="1"/>
      <c r="AI782" s="6">
        <v>44773</v>
      </c>
    </row>
    <row r="783" spans="1:35" x14ac:dyDescent="0.3">
      <c r="A783" s="1" t="s">
        <v>1354</v>
      </c>
      <c r="B783" s="2" t="str">
        <f>HYPERLINK("https://my.zakupki.prom.ua/remote/dispatcher/state_purchase_view/34683457")</f>
        <v>https://my.zakupki.prom.ua/remote/dispatcher/state_purchase_view/34683457</v>
      </c>
      <c r="C783" s="1" t="s">
        <v>3922</v>
      </c>
      <c r="D783" s="1" t="s">
        <v>479</v>
      </c>
      <c r="E783" s="1" t="s">
        <v>4903</v>
      </c>
      <c r="F783" s="1" t="s">
        <v>4903</v>
      </c>
      <c r="G783" s="1" t="s">
        <v>4903</v>
      </c>
      <c r="H783" s="1" t="s">
        <v>895</v>
      </c>
      <c r="I783" s="1" t="s">
        <v>2842</v>
      </c>
      <c r="J783" s="5">
        <v>29000</v>
      </c>
      <c r="K783" s="1" t="s">
        <v>3394</v>
      </c>
      <c r="L783" s="5">
        <v>145</v>
      </c>
      <c r="M783" s="1" t="s">
        <v>2308</v>
      </c>
      <c r="N783" s="1" t="s">
        <v>3983</v>
      </c>
      <c r="O783" s="1" t="s">
        <v>2521</v>
      </c>
      <c r="P783" s="1" t="s">
        <v>2762</v>
      </c>
      <c r="Q783" s="1" t="s">
        <v>2820</v>
      </c>
      <c r="R783" s="1" t="s">
        <v>4585</v>
      </c>
      <c r="S783" s="1" t="s">
        <v>4937</v>
      </c>
      <c r="T783" s="6">
        <v>44593</v>
      </c>
      <c r="U783" s="6">
        <v>44599</v>
      </c>
      <c r="V783" s="7">
        <v>0.48865740740740743</v>
      </c>
      <c r="W783" s="6">
        <v>44602</v>
      </c>
      <c r="X783" s="7">
        <v>0.375</v>
      </c>
      <c r="Y783" s="1" t="s">
        <v>4860</v>
      </c>
      <c r="Z783" s="5">
        <v>119</v>
      </c>
      <c r="AA783" s="1" t="s">
        <v>3403</v>
      </c>
      <c r="AB783" s="1"/>
      <c r="AC783" s="1"/>
      <c r="AD783" s="1"/>
      <c r="AE783" s="1" t="s">
        <v>3776</v>
      </c>
      <c r="AF783" s="1" t="s">
        <v>9</v>
      </c>
      <c r="AG783" s="1" t="s">
        <v>9</v>
      </c>
      <c r="AH783" s="1"/>
      <c r="AI783" s="6">
        <v>44926</v>
      </c>
    </row>
    <row r="784" spans="1:35" x14ac:dyDescent="0.3">
      <c r="A784" s="1" t="s">
        <v>1931</v>
      </c>
      <c r="B784" s="2" t="str">
        <f>HYPERLINK("https://my.zakupki.prom.ua/remote/dispatcher/state_purchase_view/34683441")</f>
        <v>https://my.zakupki.prom.ua/remote/dispatcher/state_purchase_view/34683441</v>
      </c>
      <c r="C784" s="1" t="s">
        <v>3568</v>
      </c>
      <c r="D784" s="1" t="s">
        <v>1255</v>
      </c>
      <c r="E784" s="4">
        <v>14</v>
      </c>
      <c r="F784" s="5">
        <v>2900</v>
      </c>
      <c r="G784" s="1" t="s">
        <v>4939</v>
      </c>
      <c r="H784" s="1" t="s">
        <v>426</v>
      </c>
      <c r="I784" s="1" t="s">
        <v>2530</v>
      </c>
      <c r="J784" s="5">
        <v>40600</v>
      </c>
      <c r="K784" s="1" t="s">
        <v>3394</v>
      </c>
      <c r="L784" s="5">
        <v>203</v>
      </c>
      <c r="M784" s="1" t="s">
        <v>2308</v>
      </c>
      <c r="N784" s="1" t="s">
        <v>3983</v>
      </c>
      <c r="O784" s="1" t="s">
        <v>2521</v>
      </c>
      <c r="P784" s="1" t="s">
        <v>3956</v>
      </c>
      <c r="Q784" s="1" t="s">
        <v>3035</v>
      </c>
      <c r="R784" s="1" t="s">
        <v>4081</v>
      </c>
      <c r="S784" s="1" t="s">
        <v>4937</v>
      </c>
      <c r="T784" s="6">
        <v>44593</v>
      </c>
      <c r="U784" s="6">
        <v>44599</v>
      </c>
      <c r="V784" s="7">
        <v>0.48472222222222222</v>
      </c>
      <c r="W784" s="6">
        <v>44602</v>
      </c>
      <c r="X784" s="7">
        <v>0.375</v>
      </c>
      <c r="Y784" s="1" t="s">
        <v>4860</v>
      </c>
      <c r="Z784" s="5">
        <v>119</v>
      </c>
      <c r="AA784" s="1" t="s">
        <v>3403</v>
      </c>
      <c r="AB784" s="1"/>
      <c r="AC784" s="1"/>
      <c r="AD784" s="1"/>
      <c r="AE784" s="1" t="s">
        <v>3727</v>
      </c>
      <c r="AF784" s="1" t="s">
        <v>9</v>
      </c>
      <c r="AG784" s="4">
        <v>3</v>
      </c>
      <c r="AH784" s="1"/>
      <c r="AI784" s="6">
        <v>44926</v>
      </c>
    </row>
    <row r="785" spans="1:35" x14ac:dyDescent="0.3">
      <c r="A785" s="1" t="s">
        <v>1932</v>
      </c>
      <c r="B785" s="2" t="str">
        <f>HYPERLINK("https://my.zakupki.prom.ua/remote/dispatcher/state_purchase_view/34683437")</f>
        <v>https://my.zakupki.prom.ua/remote/dispatcher/state_purchase_view/34683437</v>
      </c>
      <c r="C785" s="1" t="s">
        <v>3902</v>
      </c>
      <c r="D785" s="1" t="s">
        <v>1126</v>
      </c>
      <c r="E785" s="1" t="s">
        <v>4903</v>
      </c>
      <c r="F785" s="1" t="s">
        <v>4903</v>
      </c>
      <c r="G785" s="1" t="s">
        <v>4903</v>
      </c>
      <c r="H785" s="1" t="s">
        <v>739</v>
      </c>
      <c r="I785" s="1" t="s">
        <v>3190</v>
      </c>
      <c r="J785" s="5">
        <v>43100</v>
      </c>
      <c r="K785" s="1" t="s">
        <v>3394</v>
      </c>
      <c r="L785" s="5">
        <v>215.5</v>
      </c>
      <c r="M785" s="1" t="s">
        <v>2308</v>
      </c>
      <c r="N785" s="1" t="s">
        <v>3983</v>
      </c>
      <c r="O785" s="1" t="s">
        <v>2521</v>
      </c>
      <c r="P785" s="1" t="s">
        <v>2762</v>
      </c>
      <c r="Q785" s="1" t="s">
        <v>3035</v>
      </c>
      <c r="R785" s="1" t="s">
        <v>4186</v>
      </c>
      <c r="S785" s="1" t="s">
        <v>4937</v>
      </c>
      <c r="T785" s="6">
        <v>44593</v>
      </c>
      <c r="U785" s="6">
        <v>44599</v>
      </c>
      <c r="V785" s="7">
        <v>0</v>
      </c>
      <c r="W785" s="6">
        <v>44602</v>
      </c>
      <c r="X785" s="7">
        <v>0.52083333333333337</v>
      </c>
      <c r="Y785" s="1" t="s">
        <v>4860</v>
      </c>
      <c r="Z785" s="5">
        <v>119</v>
      </c>
      <c r="AA785" s="1" t="s">
        <v>3403</v>
      </c>
      <c r="AB785" s="1"/>
      <c r="AC785" s="1"/>
      <c r="AD785" s="1"/>
      <c r="AE785" s="1" t="s">
        <v>3772</v>
      </c>
      <c r="AF785" s="1" t="s">
        <v>9</v>
      </c>
      <c r="AG785" s="4">
        <v>12</v>
      </c>
      <c r="AH785" s="1"/>
      <c r="AI785" s="6">
        <v>44712</v>
      </c>
    </row>
    <row r="786" spans="1:35" x14ac:dyDescent="0.3">
      <c r="A786" s="1" t="s">
        <v>1570</v>
      </c>
      <c r="B786" s="2" t="str">
        <f>HYPERLINK("https://my.zakupki.prom.ua/remote/dispatcher/state_purchase_view/34683429")</f>
        <v>https://my.zakupki.prom.ua/remote/dispatcher/state_purchase_view/34683429</v>
      </c>
      <c r="C786" s="1" t="s">
        <v>3364</v>
      </c>
      <c r="D786" s="1" t="s">
        <v>760</v>
      </c>
      <c r="E786" s="4">
        <v>8</v>
      </c>
      <c r="F786" s="5">
        <v>2625</v>
      </c>
      <c r="G786" s="1" t="s">
        <v>4923</v>
      </c>
      <c r="H786" s="1" t="s">
        <v>1020</v>
      </c>
      <c r="I786" s="1" t="s">
        <v>4008</v>
      </c>
      <c r="J786" s="5">
        <v>21000</v>
      </c>
      <c r="K786" s="1" t="s">
        <v>3394</v>
      </c>
      <c r="L786" s="5">
        <v>105</v>
      </c>
      <c r="M786" s="1" t="s">
        <v>2308</v>
      </c>
      <c r="N786" s="1" t="s">
        <v>3403</v>
      </c>
      <c r="O786" s="1" t="s">
        <v>2521</v>
      </c>
      <c r="P786" s="1" t="s">
        <v>3956</v>
      </c>
      <c r="Q786" s="1" t="s">
        <v>3264</v>
      </c>
      <c r="R786" s="1" t="s">
        <v>4446</v>
      </c>
      <c r="S786" s="1" t="s">
        <v>4937</v>
      </c>
      <c r="T786" s="6">
        <v>44593</v>
      </c>
      <c r="U786" s="6">
        <v>44599</v>
      </c>
      <c r="V786" s="7">
        <v>0.54166666666666663</v>
      </c>
      <c r="W786" s="6">
        <v>44602</v>
      </c>
      <c r="X786" s="7">
        <v>0.54166666666666663</v>
      </c>
      <c r="Y786" s="1" t="s">
        <v>4860</v>
      </c>
      <c r="Z786" s="5">
        <v>119</v>
      </c>
      <c r="AA786" s="1" t="s">
        <v>3403</v>
      </c>
      <c r="AB786" s="1"/>
      <c r="AC786" s="1"/>
      <c r="AD786" s="1"/>
      <c r="AE786" s="1" t="s">
        <v>3787</v>
      </c>
      <c r="AF786" s="1" t="s">
        <v>9</v>
      </c>
      <c r="AG786" s="4">
        <v>1</v>
      </c>
      <c r="AH786" s="1"/>
      <c r="AI786" s="6">
        <v>44926</v>
      </c>
    </row>
    <row r="787" spans="1:35" x14ac:dyDescent="0.3">
      <c r="A787" s="1" t="s">
        <v>1566</v>
      </c>
      <c r="B787" s="2" t="str">
        <f>HYPERLINK("https://my.zakupki.prom.ua/remote/dispatcher/state_purchase_view/34683400")</f>
        <v>https://my.zakupki.prom.ua/remote/dispatcher/state_purchase_view/34683400</v>
      </c>
      <c r="C787" s="1" t="s">
        <v>2325</v>
      </c>
      <c r="D787" s="1" t="s">
        <v>1263</v>
      </c>
      <c r="E787" s="4">
        <v>2520</v>
      </c>
      <c r="F787" s="5">
        <v>321.06</v>
      </c>
      <c r="G787" s="1" t="s">
        <v>4940</v>
      </c>
      <c r="H787" s="1" t="s">
        <v>986</v>
      </c>
      <c r="I787" s="1" t="s">
        <v>2730</v>
      </c>
      <c r="J787" s="5">
        <v>809079.45</v>
      </c>
      <c r="K787" s="1" t="s">
        <v>3394</v>
      </c>
      <c r="L787" s="5">
        <v>4045.39</v>
      </c>
      <c r="M787" s="1" t="s">
        <v>2308</v>
      </c>
      <c r="N787" s="1" t="s">
        <v>3983</v>
      </c>
      <c r="O787" s="1" t="s">
        <v>2521</v>
      </c>
      <c r="P787" s="1" t="s">
        <v>2516</v>
      </c>
      <c r="Q787" s="1" t="s">
        <v>4911</v>
      </c>
      <c r="R787" s="1" t="s">
        <v>4081</v>
      </c>
      <c r="S787" s="1" t="s">
        <v>4971</v>
      </c>
      <c r="T787" s="6">
        <v>44593</v>
      </c>
      <c r="U787" s="6">
        <v>44593</v>
      </c>
      <c r="V787" s="7">
        <v>0.48629364613425929</v>
      </c>
      <c r="W787" s="6">
        <v>44624</v>
      </c>
      <c r="X787" s="7">
        <v>0</v>
      </c>
      <c r="Y787" s="8">
        <v>44659.624259259261</v>
      </c>
      <c r="Z787" s="5">
        <v>510</v>
      </c>
      <c r="AA787" s="1" t="s">
        <v>3403</v>
      </c>
      <c r="AB787" s="1"/>
      <c r="AC787" s="1"/>
      <c r="AD787" s="1"/>
      <c r="AE787" s="1" t="s">
        <v>3754</v>
      </c>
      <c r="AF787" s="1" t="s">
        <v>9</v>
      </c>
      <c r="AG787" s="4">
        <v>28</v>
      </c>
      <c r="AH787" s="1"/>
      <c r="AI787" s="6">
        <v>44926</v>
      </c>
    </row>
    <row r="788" spans="1:35" x14ac:dyDescent="0.3">
      <c r="A788" s="1" t="s">
        <v>1345</v>
      </c>
      <c r="B788" s="2" t="str">
        <f>HYPERLINK("https://my.zakupki.prom.ua/remote/dispatcher/state_purchase_view/34683398")</f>
        <v>https://my.zakupki.prom.ua/remote/dispatcher/state_purchase_view/34683398</v>
      </c>
      <c r="C788" s="1" t="s">
        <v>3845</v>
      </c>
      <c r="D788" s="1" t="s">
        <v>1177</v>
      </c>
      <c r="E788" s="4">
        <v>1</v>
      </c>
      <c r="F788" s="5">
        <v>1802206</v>
      </c>
      <c r="G788" s="1" t="s">
        <v>4940</v>
      </c>
      <c r="H788" s="1" t="s">
        <v>419</v>
      </c>
      <c r="I788" s="1" t="s">
        <v>2698</v>
      </c>
      <c r="J788" s="5">
        <v>1802206</v>
      </c>
      <c r="K788" s="1" t="s">
        <v>3394</v>
      </c>
      <c r="L788" s="5">
        <v>9012</v>
      </c>
      <c r="M788" s="1" t="s">
        <v>2308</v>
      </c>
      <c r="N788" s="1" t="s">
        <v>3983</v>
      </c>
      <c r="O788" s="1" t="s">
        <v>2521</v>
      </c>
      <c r="P788" s="1" t="s">
        <v>2515</v>
      </c>
      <c r="Q788" s="1" t="s">
        <v>2756</v>
      </c>
      <c r="R788" s="1" t="s">
        <v>4081</v>
      </c>
      <c r="S788" s="1" t="s">
        <v>4971</v>
      </c>
      <c r="T788" s="6">
        <v>44593</v>
      </c>
      <c r="U788" s="6">
        <v>44593</v>
      </c>
      <c r="V788" s="7">
        <v>0.47754921065972222</v>
      </c>
      <c r="W788" s="6">
        <v>44609</v>
      </c>
      <c r="X788" s="7">
        <v>0.48100694444444442</v>
      </c>
      <c r="Y788" s="8">
        <v>44610.496377314812</v>
      </c>
      <c r="Z788" s="5">
        <v>1700</v>
      </c>
      <c r="AA788" s="1" t="s">
        <v>3403</v>
      </c>
      <c r="AB788" s="1"/>
      <c r="AC788" s="1"/>
      <c r="AD788" s="1"/>
      <c r="AE788" s="1" t="s">
        <v>3749</v>
      </c>
      <c r="AF788" s="1" t="s">
        <v>9</v>
      </c>
      <c r="AG788" s="4">
        <v>83</v>
      </c>
      <c r="AH788" s="6">
        <v>44613</v>
      </c>
      <c r="AI788" s="6">
        <v>44926</v>
      </c>
    </row>
    <row r="789" spans="1:35" x14ac:dyDescent="0.3">
      <c r="A789" s="1" t="s">
        <v>1569</v>
      </c>
      <c r="B789" s="2" t="str">
        <f>HYPERLINK("https://my.zakupki.prom.ua/remote/dispatcher/state_purchase_view/34683394")</f>
        <v>https://my.zakupki.prom.ua/remote/dispatcher/state_purchase_view/34683394</v>
      </c>
      <c r="C789" s="1" t="s">
        <v>2647</v>
      </c>
      <c r="D789" s="1" t="s">
        <v>441</v>
      </c>
      <c r="E789" s="4">
        <v>9000</v>
      </c>
      <c r="F789" s="5">
        <v>96</v>
      </c>
      <c r="G789" s="1" t="s">
        <v>4883</v>
      </c>
      <c r="H789" s="1" t="s">
        <v>341</v>
      </c>
      <c r="I789" s="1" t="s">
        <v>3073</v>
      </c>
      <c r="J789" s="5">
        <v>864000</v>
      </c>
      <c r="K789" s="1" t="s">
        <v>3394</v>
      </c>
      <c r="L789" s="5">
        <v>8640</v>
      </c>
      <c r="M789" s="1" t="s">
        <v>2308</v>
      </c>
      <c r="N789" s="1" t="s">
        <v>3983</v>
      </c>
      <c r="O789" s="1" t="s">
        <v>2521</v>
      </c>
      <c r="P789" s="1" t="s">
        <v>2515</v>
      </c>
      <c r="Q789" s="1" t="s">
        <v>2820</v>
      </c>
      <c r="R789" s="1" t="s">
        <v>4357</v>
      </c>
      <c r="S789" s="1" t="s">
        <v>4971</v>
      </c>
      <c r="T789" s="6">
        <v>44593</v>
      </c>
      <c r="U789" s="6">
        <v>44593</v>
      </c>
      <c r="V789" s="7">
        <v>0.48772146196759264</v>
      </c>
      <c r="W789" s="6">
        <v>44609</v>
      </c>
      <c r="X789" s="7">
        <v>0.49118055555555556</v>
      </c>
      <c r="Y789" s="8">
        <v>44610.540636574071</v>
      </c>
      <c r="Z789" s="5">
        <v>510</v>
      </c>
      <c r="AA789" s="1" t="s">
        <v>3403</v>
      </c>
      <c r="AB789" s="1"/>
      <c r="AC789" s="1"/>
      <c r="AD789" s="1"/>
      <c r="AE789" s="1" t="s">
        <v>3788</v>
      </c>
      <c r="AF789" s="1" t="s">
        <v>9</v>
      </c>
      <c r="AG789" s="4">
        <v>1</v>
      </c>
      <c r="AH789" s="1"/>
      <c r="AI789" s="6">
        <v>44926</v>
      </c>
    </row>
    <row r="790" spans="1:35" x14ac:dyDescent="0.3">
      <c r="A790" s="1" t="s">
        <v>1576</v>
      </c>
      <c r="B790" s="2" t="str">
        <f>HYPERLINK("https://my.zakupki.prom.ua/remote/dispatcher/state_purchase_view/34683376")</f>
        <v>https://my.zakupki.prom.ua/remote/dispatcher/state_purchase_view/34683376</v>
      </c>
      <c r="C790" s="1" t="s">
        <v>3009</v>
      </c>
      <c r="D790" s="1" t="s">
        <v>695</v>
      </c>
      <c r="E790" s="1" t="s">
        <v>4903</v>
      </c>
      <c r="F790" s="1" t="s">
        <v>4903</v>
      </c>
      <c r="G790" s="1" t="s">
        <v>4903</v>
      </c>
      <c r="H790" s="1" t="s">
        <v>1098</v>
      </c>
      <c r="I790" s="1" t="s">
        <v>4027</v>
      </c>
      <c r="J790" s="5">
        <v>3844.9</v>
      </c>
      <c r="K790" s="1" t="s">
        <v>3394</v>
      </c>
      <c r="L790" s="5">
        <v>19.22</v>
      </c>
      <c r="M790" s="1" t="s">
        <v>2308</v>
      </c>
      <c r="N790" s="1" t="s">
        <v>3983</v>
      </c>
      <c r="O790" s="1" t="s">
        <v>2521</v>
      </c>
      <c r="P790" s="1" t="s">
        <v>3956</v>
      </c>
      <c r="Q790" s="1" t="s">
        <v>3426</v>
      </c>
      <c r="R790" s="1" t="s">
        <v>4667</v>
      </c>
      <c r="S790" s="1" t="s">
        <v>4937</v>
      </c>
      <c r="T790" s="6">
        <v>44593</v>
      </c>
      <c r="U790" s="6">
        <v>44599</v>
      </c>
      <c r="V790" s="7">
        <v>0.45833333333333331</v>
      </c>
      <c r="W790" s="6">
        <v>44602</v>
      </c>
      <c r="X790" s="7">
        <v>0.45833333333333331</v>
      </c>
      <c r="Y790" s="1" t="s">
        <v>4860</v>
      </c>
      <c r="Z790" s="5">
        <v>17</v>
      </c>
      <c r="AA790" s="1" t="s">
        <v>3403</v>
      </c>
      <c r="AB790" s="1"/>
      <c r="AC790" s="1"/>
      <c r="AD790" s="1"/>
      <c r="AE790" s="1" t="s">
        <v>3776</v>
      </c>
      <c r="AF790" s="1" t="s">
        <v>9</v>
      </c>
      <c r="AG790" s="4">
        <v>1</v>
      </c>
      <c r="AH790" s="1"/>
      <c r="AI790" s="6">
        <v>44621</v>
      </c>
    </row>
    <row r="791" spans="1:35" x14ac:dyDescent="0.3">
      <c r="A791" s="1" t="s">
        <v>1941</v>
      </c>
      <c r="B791" s="2" t="str">
        <f>HYPERLINK("https://my.zakupki.prom.ua/remote/dispatcher/state_purchase_view/34683360")</f>
        <v>https://my.zakupki.prom.ua/remote/dispatcher/state_purchase_view/34683360</v>
      </c>
      <c r="C791" s="1" t="s">
        <v>765</v>
      </c>
      <c r="D791" s="1" t="s">
        <v>764</v>
      </c>
      <c r="E791" s="4">
        <v>120000</v>
      </c>
      <c r="F791" s="5">
        <v>1</v>
      </c>
      <c r="G791" s="1" t="s">
        <v>4989</v>
      </c>
      <c r="H791" s="1" t="s">
        <v>82</v>
      </c>
      <c r="I791" s="1" t="s">
        <v>2913</v>
      </c>
      <c r="J791" s="5">
        <v>120000</v>
      </c>
      <c r="K791" s="1" t="s">
        <v>3394</v>
      </c>
      <c r="L791" s="5">
        <v>1200</v>
      </c>
      <c r="M791" s="1" t="s">
        <v>2308</v>
      </c>
      <c r="N791" s="1" t="s">
        <v>3403</v>
      </c>
      <c r="O791" s="1" t="s">
        <v>2521</v>
      </c>
      <c r="P791" s="1" t="s">
        <v>2515</v>
      </c>
      <c r="Q791" s="1" t="s">
        <v>3035</v>
      </c>
      <c r="R791" s="1" t="s">
        <v>4522</v>
      </c>
      <c r="S791" s="1" t="s">
        <v>4971</v>
      </c>
      <c r="T791" s="6">
        <v>44593</v>
      </c>
      <c r="U791" s="6">
        <v>44593</v>
      </c>
      <c r="V791" s="7">
        <v>0.49349537037037039</v>
      </c>
      <c r="W791" s="6">
        <v>44609</v>
      </c>
      <c r="X791" s="7">
        <v>0.54166666666666663</v>
      </c>
      <c r="Y791" s="8">
        <v>44610.551631944443</v>
      </c>
      <c r="Z791" s="5">
        <v>340</v>
      </c>
      <c r="AA791" s="1" t="s">
        <v>3403</v>
      </c>
      <c r="AB791" s="1"/>
      <c r="AC791" s="1"/>
      <c r="AD791" s="1"/>
      <c r="AE791" s="1" t="s">
        <v>3788</v>
      </c>
      <c r="AF791" s="1" t="s">
        <v>9</v>
      </c>
      <c r="AG791" s="4">
        <v>2</v>
      </c>
      <c r="AH791" s="1"/>
      <c r="AI791" s="6">
        <v>44926</v>
      </c>
    </row>
    <row r="792" spans="1:35" x14ac:dyDescent="0.3">
      <c r="A792" s="1" t="s">
        <v>1476</v>
      </c>
      <c r="B792" s="2" t="str">
        <f>HYPERLINK("https://my.zakupki.prom.ua/remote/dispatcher/state_purchase_view/34683349")</f>
        <v>https://my.zakupki.prom.ua/remote/dispatcher/state_purchase_view/34683349</v>
      </c>
      <c r="C792" s="1" t="s">
        <v>3940</v>
      </c>
      <c r="D792" s="1" t="s">
        <v>510</v>
      </c>
      <c r="E792" s="4">
        <v>23107</v>
      </c>
      <c r="F792" s="5">
        <v>11.54</v>
      </c>
      <c r="G792" s="1" t="s">
        <v>2554</v>
      </c>
      <c r="H792" s="1" t="s">
        <v>616</v>
      </c>
      <c r="I792" s="1" t="s">
        <v>3121</v>
      </c>
      <c r="J792" s="5">
        <v>266730</v>
      </c>
      <c r="K792" s="1" t="s">
        <v>3394</v>
      </c>
      <c r="L792" s="5">
        <v>1333.65</v>
      </c>
      <c r="M792" s="1" t="s">
        <v>2308</v>
      </c>
      <c r="N792" s="1" t="s">
        <v>3983</v>
      </c>
      <c r="O792" s="1" t="s">
        <v>2521</v>
      </c>
      <c r="P792" s="1" t="s">
        <v>2515</v>
      </c>
      <c r="Q792" s="1" t="s">
        <v>4794</v>
      </c>
      <c r="R792" s="1" t="s">
        <v>4693</v>
      </c>
      <c r="S792" s="1" t="s">
        <v>4971</v>
      </c>
      <c r="T792" s="6">
        <v>44593</v>
      </c>
      <c r="U792" s="6">
        <v>44593</v>
      </c>
      <c r="V792" s="7">
        <v>0.46517595408564816</v>
      </c>
      <c r="W792" s="6">
        <v>44609</v>
      </c>
      <c r="X792" s="7">
        <v>0</v>
      </c>
      <c r="Y792" s="8">
        <v>44609.656087962961</v>
      </c>
      <c r="Z792" s="5">
        <v>510</v>
      </c>
      <c r="AA792" s="1" t="s">
        <v>3403</v>
      </c>
      <c r="AB792" s="1"/>
      <c r="AC792" s="1"/>
      <c r="AD792" s="1"/>
      <c r="AE792" s="1" t="s">
        <v>3788</v>
      </c>
      <c r="AF792" s="1" t="s">
        <v>9</v>
      </c>
      <c r="AG792" s="4">
        <v>1</v>
      </c>
      <c r="AH792" s="1"/>
      <c r="AI792" s="6">
        <v>44926</v>
      </c>
    </row>
    <row r="793" spans="1:35" x14ac:dyDescent="0.3">
      <c r="A793" s="1" t="s">
        <v>1577</v>
      </c>
      <c r="B793" s="2" t="str">
        <f>HYPERLINK("https://my.zakupki.prom.ua/remote/dispatcher/state_purchase_view/34683325")</f>
        <v>https://my.zakupki.prom.ua/remote/dispatcher/state_purchase_view/34683325</v>
      </c>
      <c r="C793" s="1" t="s">
        <v>3423</v>
      </c>
      <c r="D793" s="1" t="s">
        <v>213</v>
      </c>
      <c r="E793" s="4">
        <v>200</v>
      </c>
      <c r="F793" s="5">
        <v>46.73</v>
      </c>
      <c r="G793" s="1" t="s">
        <v>4902</v>
      </c>
      <c r="H793" s="1" t="s">
        <v>528</v>
      </c>
      <c r="I793" s="1" t="s">
        <v>3079</v>
      </c>
      <c r="J793" s="5">
        <v>9345</v>
      </c>
      <c r="K793" s="1" t="s">
        <v>3394</v>
      </c>
      <c r="L793" s="5">
        <v>46.73</v>
      </c>
      <c r="M793" s="1" t="s">
        <v>2308</v>
      </c>
      <c r="N793" s="1" t="s">
        <v>3983</v>
      </c>
      <c r="O793" s="1" t="s">
        <v>2521</v>
      </c>
      <c r="P793" s="1" t="s">
        <v>2762</v>
      </c>
      <c r="Q793" s="1" t="s">
        <v>3035</v>
      </c>
      <c r="R793" s="1" t="s">
        <v>4500</v>
      </c>
      <c r="S793" s="1" t="s">
        <v>4937</v>
      </c>
      <c r="T793" s="6">
        <v>44593</v>
      </c>
      <c r="U793" s="6">
        <v>44599</v>
      </c>
      <c r="V793" s="7">
        <v>0</v>
      </c>
      <c r="W793" s="6">
        <v>44602</v>
      </c>
      <c r="X793" s="7">
        <v>0</v>
      </c>
      <c r="Y793" s="1" t="s">
        <v>4860</v>
      </c>
      <c r="Z793" s="5">
        <v>17</v>
      </c>
      <c r="AA793" s="1" t="s">
        <v>3403</v>
      </c>
      <c r="AB793" s="1"/>
      <c r="AC793" s="1"/>
      <c r="AD793" s="1"/>
      <c r="AE793" s="1" t="s">
        <v>3787</v>
      </c>
      <c r="AF793" s="1" t="s">
        <v>9</v>
      </c>
      <c r="AG793" s="1" t="s">
        <v>9</v>
      </c>
      <c r="AH793" s="1"/>
      <c r="AI793" s="6">
        <v>44620</v>
      </c>
    </row>
    <row r="794" spans="1:35" x14ac:dyDescent="0.3">
      <c r="A794" s="1" t="s">
        <v>1568</v>
      </c>
      <c r="B794" s="2" t="str">
        <f>HYPERLINK("https://my.zakupki.prom.ua/remote/dispatcher/state_purchase_view/34683299")</f>
        <v>https://my.zakupki.prom.ua/remote/dispatcher/state_purchase_view/34683299</v>
      </c>
      <c r="C794" s="1" t="s">
        <v>3638</v>
      </c>
      <c r="D794" s="1" t="s">
        <v>1137</v>
      </c>
      <c r="E794" s="4">
        <v>1</v>
      </c>
      <c r="F794" s="5">
        <v>220000</v>
      </c>
      <c r="G794" s="1" t="s">
        <v>4940</v>
      </c>
      <c r="H794" s="1" t="s">
        <v>253</v>
      </c>
      <c r="I794" s="1" t="s">
        <v>2976</v>
      </c>
      <c r="J794" s="5">
        <v>220000</v>
      </c>
      <c r="K794" s="1" t="s">
        <v>3394</v>
      </c>
      <c r="L794" s="5">
        <v>2500</v>
      </c>
      <c r="M794" s="1" t="s">
        <v>2308</v>
      </c>
      <c r="N794" s="1" t="s">
        <v>3983</v>
      </c>
      <c r="O794" s="1" t="s">
        <v>2521</v>
      </c>
      <c r="P794" s="1" t="s">
        <v>2515</v>
      </c>
      <c r="Q794" s="1" t="s">
        <v>3264</v>
      </c>
      <c r="R794" s="1" t="s">
        <v>4509</v>
      </c>
      <c r="S794" s="1" t="s">
        <v>4971</v>
      </c>
      <c r="T794" s="6">
        <v>44593</v>
      </c>
      <c r="U794" s="6">
        <v>44593</v>
      </c>
      <c r="V794" s="7">
        <v>0.48719196107638885</v>
      </c>
      <c r="W794" s="6">
        <v>44609</v>
      </c>
      <c r="X794" s="7">
        <v>0.49064814814814817</v>
      </c>
      <c r="Y794" s="8">
        <v>44610.501134259262</v>
      </c>
      <c r="Z794" s="5">
        <v>510</v>
      </c>
      <c r="AA794" s="1" t="s">
        <v>3403</v>
      </c>
      <c r="AB794" s="1"/>
      <c r="AC794" s="1"/>
      <c r="AD794" s="1"/>
      <c r="AE794" s="1" t="s">
        <v>3750</v>
      </c>
      <c r="AF794" s="1" t="s">
        <v>9</v>
      </c>
      <c r="AG794" s="4">
        <v>5</v>
      </c>
      <c r="AH794" s="1"/>
      <c r="AI794" s="6">
        <v>44742</v>
      </c>
    </row>
    <row r="795" spans="1:35" x14ac:dyDescent="0.3">
      <c r="A795" s="1" t="s">
        <v>1529</v>
      </c>
      <c r="B795" s="2" t="str">
        <f>HYPERLINK("https://my.zakupki.prom.ua/remote/dispatcher/state_purchase_view/34683296")</f>
        <v>https://my.zakupki.prom.ua/remote/dispatcher/state_purchase_view/34683296</v>
      </c>
      <c r="C795" s="1" t="s">
        <v>2351</v>
      </c>
      <c r="D795" s="1" t="s">
        <v>436</v>
      </c>
      <c r="E795" s="1" t="s">
        <v>4903</v>
      </c>
      <c r="F795" s="1" t="s">
        <v>4903</v>
      </c>
      <c r="G795" s="1" t="s">
        <v>4903</v>
      </c>
      <c r="H795" s="1" t="s">
        <v>739</v>
      </c>
      <c r="I795" s="1" t="s">
        <v>3190</v>
      </c>
      <c r="J795" s="5">
        <v>32640</v>
      </c>
      <c r="K795" s="1" t="s">
        <v>3394</v>
      </c>
      <c r="L795" s="5">
        <v>163.19999999999999</v>
      </c>
      <c r="M795" s="1" t="s">
        <v>2308</v>
      </c>
      <c r="N795" s="1" t="s">
        <v>3983</v>
      </c>
      <c r="O795" s="1" t="s">
        <v>2521</v>
      </c>
      <c r="P795" s="1" t="s">
        <v>2762</v>
      </c>
      <c r="Q795" s="1" t="s">
        <v>3035</v>
      </c>
      <c r="R795" s="1" t="s">
        <v>4186</v>
      </c>
      <c r="S795" s="1" t="s">
        <v>4937</v>
      </c>
      <c r="T795" s="6">
        <v>44593</v>
      </c>
      <c r="U795" s="6">
        <v>44599</v>
      </c>
      <c r="V795" s="7">
        <v>0</v>
      </c>
      <c r="W795" s="6">
        <v>44602</v>
      </c>
      <c r="X795" s="7">
        <v>0.51041666666666663</v>
      </c>
      <c r="Y795" s="1" t="s">
        <v>4860</v>
      </c>
      <c r="Z795" s="5">
        <v>119</v>
      </c>
      <c r="AA795" s="1" t="s">
        <v>3403</v>
      </c>
      <c r="AB795" s="1"/>
      <c r="AC795" s="1"/>
      <c r="AD795" s="1"/>
      <c r="AE795" s="1" t="s">
        <v>3772</v>
      </c>
      <c r="AF795" s="1" t="s">
        <v>9</v>
      </c>
      <c r="AG795" s="4">
        <v>12</v>
      </c>
      <c r="AH795" s="1"/>
      <c r="AI795" s="6">
        <v>44712</v>
      </c>
    </row>
    <row r="796" spans="1:35" x14ac:dyDescent="0.3">
      <c r="A796" s="1" t="s">
        <v>1573</v>
      </c>
      <c r="B796" s="2" t="str">
        <f>HYPERLINK("https://my.zakupki.prom.ua/remote/dispatcher/state_purchase_view/34683291")</f>
        <v>https://my.zakupki.prom.ua/remote/dispatcher/state_purchase_view/34683291</v>
      </c>
      <c r="C796" s="1" t="s">
        <v>3580</v>
      </c>
      <c r="D796" s="1" t="s">
        <v>1222</v>
      </c>
      <c r="E796" s="4">
        <v>1</v>
      </c>
      <c r="F796" s="5">
        <v>194709.6</v>
      </c>
      <c r="G796" s="1" t="s">
        <v>4939</v>
      </c>
      <c r="H796" s="1" t="s">
        <v>647</v>
      </c>
      <c r="I796" s="1" t="s">
        <v>2933</v>
      </c>
      <c r="J796" s="5">
        <v>194709.6</v>
      </c>
      <c r="K796" s="1" t="s">
        <v>3394</v>
      </c>
      <c r="L796" s="5">
        <v>973.55</v>
      </c>
      <c r="M796" s="1" t="s">
        <v>2308</v>
      </c>
      <c r="N796" s="1" t="s">
        <v>3983</v>
      </c>
      <c r="O796" s="1" t="s">
        <v>1298</v>
      </c>
      <c r="P796" s="1" t="s">
        <v>3956</v>
      </c>
      <c r="Q796" s="1" t="s">
        <v>3035</v>
      </c>
      <c r="R796" s="1" t="s">
        <v>4081</v>
      </c>
      <c r="S796" s="1" t="s">
        <v>4937</v>
      </c>
      <c r="T796" s="6">
        <v>44593</v>
      </c>
      <c r="U796" s="6">
        <v>44597</v>
      </c>
      <c r="V796" s="7">
        <v>0.5</v>
      </c>
      <c r="W796" s="6">
        <v>44602</v>
      </c>
      <c r="X796" s="7">
        <v>0.5</v>
      </c>
      <c r="Y796" s="1" t="s">
        <v>4860</v>
      </c>
      <c r="Z796" s="5">
        <v>340</v>
      </c>
      <c r="AA796" s="1" t="s">
        <v>3403</v>
      </c>
      <c r="AB796" s="1"/>
      <c r="AC796" s="1"/>
      <c r="AD796" s="1"/>
      <c r="AE796" s="1" t="s">
        <v>3756</v>
      </c>
      <c r="AF796" s="1" t="s">
        <v>9</v>
      </c>
      <c r="AG796" s="4">
        <v>6</v>
      </c>
      <c r="AH796" s="6">
        <v>44607</v>
      </c>
      <c r="AI796" s="6">
        <v>44926</v>
      </c>
    </row>
    <row r="797" spans="1:35" x14ac:dyDescent="0.3">
      <c r="A797" s="1" t="s">
        <v>1357</v>
      </c>
      <c r="B797" s="2" t="str">
        <f>HYPERLINK("https://my.zakupki.prom.ua/remote/dispatcher/state_purchase_view/34683280")</f>
        <v>https://my.zakupki.prom.ua/remote/dispatcher/state_purchase_view/34683280</v>
      </c>
      <c r="C797" s="1" t="s">
        <v>3443</v>
      </c>
      <c r="D797" s="1" t="s">
        <v>694</v>
      </c>
      <c r="E797" s="1" t="s">
        <v>4903</v>
      </c>
      <c r="F797" s="1" t="s">
        <v>4903</v>
      </c>
      <c r="G797" s="1" t="s">
        <v>4903</v>
      </c>
      <c r="H797" s="1" t="s">
        <v>74</v>
      </c>
      <c r="I797" s="1" t="s">
        <v>2908</v>
      </c>
      <c r="J797" s="5">
        <v>27500</v>
      </c>
      <c r="K797" s="1" t="s">
        <v>3394</v>
      </c>
      <c r="L797" s="5">
        <v>137.5</v>
      </c>
      <c r="M797" s="1" t="s">
        <v>2308</v>
      </c>
      <c r="N797" s="1" t="s">
        <v>3983</v>
      </c>
      <c r="O797" s="1" t="s">
        <v>2521</v>
      </c>
      <c r="P797" s="1" t="s">
        <v>3956</v>
      </c>
      <c r="Q797" s="1" t="s">
        <v>2796</v>
      </c>
      <c r="R797" s="1" t="s">
        <v>4103</v>
      </c>
      <c r="S797" s="1" t="s">
        <v>4937</v>
      </c>
      <c r="T797" s="6">
        <v>44593</v>
      </c>
      <c r="U797" s="6">
        <v>44599</v>
      </c>
      <c r="V797" s="7">
        <v>0.54166666666666663</v>
      </c>
      <c r="W797" s="6">
        <v>44602</v>
      </c>
      <c r="X797" s="7">
        <v>0.58333333333333337</v>
      </c>
      <c r="Y797" s="1" t="s">
        <v>4860</v>
      </c>
      <c r="Z797" s="5">
        <v>119</v>
      </c>
      <c r="AA797" s="1" t="s">
        <v>3403</v>
      </c>
      <c r="AB797" s="1"/>
      <c r="AC797" s="1"/>
      <c r="AD797" s="1"/>
      <c r="AE797" s="1" t="s">
        <v>3781</v>
      </c>
      <c r="AF797" s="1" t="s">
        <v>9</v>
      </c>
      <c r="AG797" s="4">
        <v>3</v>
      </c>
      <c r="AH797" s="1"/>
      <c r="AI797" s="6">
        <v>44926</v>
      </c>
    </row>
    <row r="798" spans="1:35" x14ac:dyDescent="0.3">
      <c r="A798" s="1" t="s">
        <v>1572</v>
      </c>
      <c r="B798" s="2" t="str">
        <f>HYPERLINK("https://my.zakupki.prom.ua/remote/dispatcher/state_purchase_view/34683275")</f>
        <v>https://my.zakupki.prom.ua/remote/dispatcher/state_purchase_view/34683275</v>
      </c>
      <c r="C798" s="1" t="s">
        <v>3053</v>
      </c>
      <c r="D798" s="1" t="s">
        <v>1183</v>
      </c>
      <c r="E798" s="4">
        <v>1100</v>
      </c>
      <c r="F798" s="5">
        <v>214.28</v>
      </c>
      <c r="G798" s="1" t="s">
        <v>4989</v>
      </c>
      <c r="H798" s="1" t="s">
        <v>978</v>
      </c>
      <c r="I798" s="1" t="s">
        <v>4789</v>
      </c>
      <c r="J798" s="5">
        <v>235704</v>
      </c>
      <c r="K798" s="1" t="s">
        <v>3394</v>
      </c>
      <c r="L798" s="5">
        <v>1178.52</v>
      </c>
      <c r="M798" s="1" t="s">
        <v>2308</v>
      </c>
      <c r="N798" s="1" t="s">
        <v>3983</v>
      </c>
      <c r="O798" s="1" t="s">
        <v>2521</v>
      </c>
      <c r="P798" s="1" t="s">
        <v>2515</v>
      </c>
      <c r="Q798" s="1" t="s">
        <v>3035</v>
      </c>
      <c r="R798" s="1" t="s">
        <v>4081</v>
      </c>
      <c r="S798" s="1" t="s">
        <v>4971</v>
      </c>
      <c r="T798" s="6">
        <v>44593</v>
      </c>
      <c r="U798" s="6">
        <v>44593</v>
      </c>
      <c r="V798" s="7">
        <v>0.49065972222222221</v>
      </c>
      <c r="W798" s="6">
        <v>44609</v>
      </c>
      <c r="X798" s="7">
        <v>0.41666666666666669</v>
      </c>
      <c r="Y798" s="8">
        <v>44610.45857638889</v>
      </c>
      <c r="Z798" s="5">
        <v>510</v>
      </c>
      <c r="AA798" s="1" t="s">
        <v>3403</v>
      </c>
      <c r="AB798" s="1"/>
      <c r="AC798" s="1"/>
      <c r="AD798" s="1"/>
      <c r="AE798" s="1" t="s">
        <v>3752</v>
      </c>
      <c r="AF798" s="1" t="s">
        <v>9</v>
      </c>
      <c r="AG798" s="4">
        <v>110</v>
      </c>
      <c r="AH798" s="1"/>
      <c r="AI798" s="6">
        <v>44926</v>
      </c>
    </row>
    <row r="799" spans="1:35" x14ac:dyDescent="0.3">
      <c r="A799" s="1" t="s">
        <v>1571</v>
      </c>
      <c r="B799" s="2" t="str">
        <f>HYPERLINK("https://my.zakupki.prom.ua/remote/dispatcher/state_purchase_view/34683271")</f>
        <v>https://my.zakupki.prom.ua/remote/dispatcher/state_purchase_view/34683271</v>
      </c>
      <c r="C799" s="1" t="s">
        <v>4779</v>
      </c>
      <c r="D799" s="1" t="s">
        <v>459</v>
      </c>
      <c r="E799" s="4">
        <v>1200</v>
      </c>
      <c r="F799" s="5">
        <v>25</v>
      </c>
      <c r="G799" s="1" t="s">
        <v>4908</v>
      </c>
      <c r="H799" s="1" t="s">
        <v>345</v>
      </c>
      <c r="I799" s="1" t="s">
        <v>3036</v>
      </c>
      <c r="J799" s="5">
        <v>30000</v>
      </c>
      <c r="K799" s="1" t="s">
        <v>3394</v>
      </c>
      <c r="L799" s="5">
        <v>150</v>
      </c>
      <c r="M799" s="1" t="s">
        <v>2308</v>
      </c>
      <c r="N799" s="1" t="s">
        <v>3983</v>
      </c>
      <c r="O799" s="1" t="s">
        <v>2521</v>
      </c>
      <c r="P799" s="1" t="s">
        <v>3956</v>
      </c>
      <c r="Q799" s="1" t="s">
        <v>3035</v>
      </c>
      <c r="R799" s="1" t="s">
        <v>4118</v>
      </c>
      <c r="S799" s="1" t="s">
        <v>4937</v>
      </c>
      <c r="T799" s="6">
        <v>44593</v>
      </c>
      <c r="U799" s="6">
        <v>44600</v>
      </c>
      <c r="V799" s="7">
        <v>0.70833333333333337</v>
      </c>
      <c r="W799" s="6">
        <v>44603</v>
      </c>
      <c r="X799" s="7">
        <v>0.70833333333333337</v>
      </c>
      <c r="Y799" s="1" t="s">
        <v>4860</v>
      </c>
      <c r="Z799" s="5">
        <v>119</v>
      </c>
      <c r="AA799" s="1" t="s">
        <v>3403</v>
      </c>
      <c r="AB799" s="1"/>
      <c r="AC799" s="1"/>
      <c r="AD799" s="1"/>
      <c r="AE799" s="1" t="s">
        <v>3773</v>
      </c>
      <c r="AF799" s="1" t="s">
        <v>9</v>
      </c>
      <c r="AG799" s="4">
        <v>14</v>
      </c>
      <c r="AH799" s="1"/>
      <c r="AI799" s="6">
        <v>44926</v>
      </c>
    </row>
    <row r="800" spans="1:35" x14ac:dyDescent="0.3">
      <c r="A800" s="1" t="s">
        <v>1943</v>
      </c>
      <c r="B800" s="2" t="str">
        <f>HYPERLINK("https://my.zakupki.prom.ua/remote/dispatcher/state_purchase_view/34683235")</f>
        <v>https://my.zakupki.prom.ua/remote/dispatcher/state_purchase_view/34683235</v>
      </c>
      <c r="C800" s="1" t="s">
        <v>3414</v>
      </c>
      <c r="D800" s="1" t="s">
        <v>215</v>
      </c>
      <c r="E800" s="4">
        <v>4300</v>
      </c>
      <c r="F800" s="5">
        <v>11.53</v>
      </c>
      <c r="G800" s="1" t="s">
        <v>4901</v>
      </c>
      <c r="H800" s="1" t="s">
        <v>67</v>
      </c>
      <c r="I800" s="1" t="s">
        <v>3137</v>
      </c>
      <c r="J800" s="5">
        <v>49600</v>
      </c>
      <c r="K800" s="1" t="s">
        <v>3394</v>
      </c>
      <c r="L800" s="5">
        <v>496</v>
      </c>
      <c r="M800" s="1" t="s">
        <v>2308</v>
      </c>
      <c r="N800" s="1" t="s">
        <v>3983</v>
      </c>
      <c r="O800" s="1" t="s">
        <v>2521</v>
      </c>
      <c r="P800" s="1" t="s">
        <v>3956</v>
      </c>
      <c r="Q800" s="1" t="s">
        <v>2761</v>
      </c>
      <c r="R800" s="1" t="s">
        <v>4338</v>
      </c>
      <c r="S800" s="1" t="s">
        <v>4937</v>
      </c>
      <c r="T800" s="6">
        <v>44593</v>
      </c>
      <c r="U800" s="6">
        <v>44599</v>
      </c>
      <c r="V800" s="7">
        <v>0.48888888888888887</v>
      </c>
      <c r="W800" s="6">
        <v>44602</v>
      </c>
      <c r="X800" s="7">
        <v>0.48888888888888887</v>
      </c>
      <c r="Y800" s="1" t="s">
        <v>4860</v>
      </c>
      <c r="Z800" s="5">
        <v>119</v>
      </c>
      <c r="AA800" s="1" t="s">
        <v>3403</v>
      </c>
      <c r="AB800" s="1"/>
      <c r="AC800" s="1"/>
      <c r="AD800" s="1"/>
      <c r="AE800" s="1" t="s">
        <v>3788</v>
      </c>
      <c r="AF800" s="1" t="s">
        <v>9</v>
      </c>
      <c r="AG800" s="4">
        <v>3</v>
      </c>
      <c r="AH800" s="6">
        <v>44613</v>
      </c>
      <c r="AI800" s="6">
        <v>44926</v>
      </c>
    </row>
    <row r="801" spans="1:35" x14ac:dyDescent="0.3">
      <c r="A801" s="1" t="s">
        <v>1942</v>
      </c>
      <c r="B801" s="2" t="str">
        <f>HYPERLINK("https://my.zakupki.prom.ua/remote/dispatcher/state_purchase_view/34681012")</f>
        <v>https://my.zakupki.prom.ua/remote/dispatcher/state_purchase_view/34681012</v>
      </c>
      <c r="C801" s="1" t="s">
        <v>2689</v>
      </c>
      <c r="D801" s="1" t="s">
        <v>700</v>
      </c>
      <c r="E801" s="1" t="s">
        <v>4903</v>
      </c>
      <c r="F801" s="1" t="s">
        <v>4903</v>
      </c>
      <c r="G801" s="1" t="s">
        <v>4903</v>
      </c>
      <c r="H801" s="1" t="s">
        <v>337</v>
      </c>
      <c r="I801" s="1" t="s">
        <v>3101</v>
      </c>
      <c r="J801" s="5">
        <v>61500</v>
      </c>
      <c r="K801" s="1" t="s">
        <v>3394</v>
      </c>
      <c r="L801" s="5">
        <v>307.5</v>
      </c>
      <c r="M801" s="1" t="s">
        <v>2308</v>
      </c>
      <c r="N801" s="1" t="s">
        <v>3983</v>
      </c>
      <c r="O801" s="1" t="s">
        <v>2521</v>
      </c>
      <c r="P801" s="1" t="s">
        <v>3956</v>
      </c>
      <c r="Q801" s="1" t="s">
        <v>3035</v>
      </c>
      <c r="R801" s="1" t="s">
        <v>4311</v>
      </c>
      <c r="S801" s="1" t="s">
        <v>4937</v>
      </c>
      <c r="T801" s="6">
        <v>44593</v>
      </c>
      <c r="U801" s="6">
        <v>44599</v>
      </c>
      <c r="V801" s="7">
        <v>0.625</v>
      </c>
      <c r="W801" s="6">
        <v>44602</v>
      </c>
      <c r="X801" s="7">
        <v>0.41666666666666669</v>
      </c>
      <c r="Y801" s="1" t="s">
        <v>4860</v>
      </c>
      <c r="Z801" s="5">
        <v>340</v>
      </c>
      <c r="AA801" s="1" t="s">
        <v>3403</v>
      </c>
      <c r="AB801" s="1"/>
      <c r="AC801" s="1"/>
      <c r="AD801" s="1"/>
      <c r="AE801" s="1" t="s">
        <v>3779</v>
      </c>
      <c r="AF801" s="1" t="s">
        <v>9</v>
      </c>
      <c r="AG801" s="4">
        <v>9</v>
      </c>
      <c r="AH801" s="1"/>
      <c r="AI801" s="6">
        <v>44926</v>
      </c>
    </row>
    <row r="802" spans="1:35" x14ac:dyDescent="0.3">
      <c r="A802" s="1" t="s">
        <v>1939</v>
      </c>
      <c r="B802" s="2" t="str">
        <f>HYPERLINK("https://my.zakupki.prom.ua/remote/dispatcher/state_purchase_view/34683246")</f>
        <v>https://my.zakupki.prom.ua/remote/dispatcher/state_purchase_view/34683246</v>
      </c>
      <c r="C802" s="1" t="s">
        <v>2621</v>
      </c>
      <c r="D802" s="1" t="s">
        <v>811</v>
      </c>
      <c r="E802" s="4">
        <v>120</v>
      </c>
      <c r="F802" s="5">
        <v>416.67</v>
      </c>
      <c r="G802" s="1" t="s">
        <v>4985</v>
      </c>
      <c r="H802" s="1" t="s">
        <v>196</v>
      </c>
      <c r="I802" s="1" t="s">
        <v>4830</v>
      </c>
      <c r="J802" s="5">
        <v>50000</v>
      </c>
      <c r="K802" s="1" t="s">
        <v>3394</v>
      </c>
      <c r="L802" s="5">
        <v>500</v>
      </c>
      <c r="M802" s="1" t="s">
        <v>2308</v>
      </c>
      <c r="N802" s="1" t="s">
        <v>3983</v>
      </c>
      <c r="O802" s="1" t="s">
        <v>2521</v>
      </c>
      <c r="P802" s="1" t="s">
        <v>3956</v>
      </c>
      <c r="Q802" s="1" t="s">
        <v>4834</v>
      </c>
      <c r="R802" s="1" t="s">
        <v>4107</v>
      </c>
      <c r="S802" s="1" t="s">
        <v>4937</v>
      </c>
      <c r="T802" s="6">
        <v>44593</v>
      </c>
      <c r="U802" s="6">
        <v>44600</v>
      </c>
      <c r="V802" s="7">
        <v>0</v>
      </c>
      <c r="W802" s="6">
        <v>44603</v>
      </c>
      <c r="X802" s="7">
        <v>0</v>
      </c>
      <c r="Y802" s="1" t="s">
        <v>4860</v>
      </c>
      <c r="Z802" s="5">
        <v>119</v>
      </c>
      <c r="AA802" s="1" t="s">
        <v>3403</v>
      </c>
      <c r="AB802" s="1"/>
      <c r="AC802" s="1"/>
      <c r="AD802" s="1"/>
      <c r="AE802" s="1" t="s">
        <v>3787</v>
      </c>
      <c r="AF802" s="1" t="s">
        <v>9</v>
      </c>
      <c r="AG802" s="4">
        <v>11</v>
      </c>
      <c r="AH802" s="1"/>
      <c r="AI802" s="6">
        <v>44651</v>
      </c>
    </row>
    <row r="803" spans="1:35" x14ac:dyDescent="0.3">
      <c r="A803" s="1" t="s">
        <v>1938</v>
      </c>
      <c r="B803" s="2" t="str">
        <f>HYPERLINK("https://my.zakupki.prom.ua/remote/dispatcher/state_purchase_view/34683230")</f>
        <v>https://my.zakupki.prom.ua/remote/dispatcher/state_purchase_view/34683230</v>
      </c>
      <c r="C803" s="1" t="s">
        <v>3645</v>
      </c>
      <c r="D803" s="1" t="s">
        <v>580</v>
      </c>
      <c r="E803" s="1" t="s">
        <v>4903</v>
      </c>
      <c r="F803" s="1" t="s">
        <v>4903</v>
      </c>
      <c r="G803" s="1" t="s">
        <v>4903</v>
      </c>
      <c r="H803" s="1" t="s">
        <v>279</v>
      </c>
      <c r="I803" s="1" t="s">
        <v>2488</v>
      </c>
      <c r="J803" s="5">
        <v>82540</v>
      </c>
      <c r="K803" s="1" t="s">
        <v>3394</v>
      </c>
      <c r="L803" s="5">
        <v>412.7</v>
      </c>
      <c r="M803" s="1" t="s">
        <v>2308</v>
      </c>
      <c r="N803" s="1" t="s">
        <v>3403</v>
      </c>
      <c r="O803" s="1" t="s">
        <v>2521</v>
      </c>
      <c r="P803" s="1" t="s">
        <v>3956</v>
      </c>
      <c r="Q803" s="1" t="s">
        <v>2756</v>
      </c>
      <c r="R803" s="1" t="s">
        <v>4396</v>
      </c>
      <c r="S803" s="1" t="s">
        <v>4937</v>
      </c>
      <c r="T803" s="6">
        <v>44593</v>
      </c>
      <c r="U803" s="6">
        <v>44599</v>
      </c>
      <c r="V803" s="7">
        <v>0.5</v>
      </c>
      <c r="W803" s="6">
        <v>44602</v>
      </c>
      <c r="X803" s="7">
        <v>0</v>
      </c>
      <c r="Y803" s="1" t="s">
        <v>4860</v>
      </c>
      <c r="Z803" s="5">
        <v>340</v>
      </c>
      <c r="AA803" s="1" t="s">
        <v>3403</v>
      </c>
      <c r="AB803" s="1"/>
      <c r="AC803" s="1"/>
      <c r="AD803" s="1"/>
      <c r="AE803" s="1" t="s">
        <v>2357</v>
      </c>
      <c r="AF803" s="1" t="s">
        <v>9</v>
      </c>
      <c r="AG803" s="4">
        <v>3</v>
      </c>
      <c r="AH803" s="1"/>
      <c r="AI803" s="6">
        <v>44926</v>
      </c>
    </row>
    <row r="804" spans="1:35" x14ac:dyDescent="0.3">
      <c r="A804" s="1" t="s">
        <v>1937</v>
      </c>
      <c r="B804" s="2" t="str">
        <f>HYPERLINK("https://my.zakupki.prom.ua/remote/dispatcher/state_purchase_view/34683184")</f>
        <v>https://my.zakupki.prom.ua/remote/dispatcher/state_purchase_view/34683184</v>
      </c>
      <c r="C804" s="1" t="s">
        <v>2372</v>
      </c>
      <c r="D804" s="1" t="s">
        <v>380</v>
      </c>
      <c r="E804" s="1" t="s">
        <v>4903</v>
      </c>
      <c r="F804" s="1" t="s">
        <v>4903</v>
      </c>
      <c r="G804" s="1" t="s">
        <v>4903</v>
      </c>
      <c r="H804" s="1" t="s">
        <v>637</v>
      </c>
      <c r="I804" s="1" t="s">
        <v>2731</v>
      </c>
      <c r="J804" s="5">
        <v>5000000</v>
      </c>
      <c r="K804" s="1" t="s">
        <v>3394</v>
      </c>
      <c r="L804" s="5">
        <v>25000</v>
      </c>
      <c r="M804" s="1" t="s">
        <v>2308</v>
      </c>
      <c r="N804" s="1" t="s">
        <v>3983</v>
      </c>
      <c r="O804" s="1" t="s">
        <v>2521</v>
      </c>
      <c r="P804" s="1" t="s">
        <v>2516</v>
      </c>
      <c r="Q804" s="1" t="s">
        <v>3035</v>
      </c>
      <c r="R804" s="1" t="s">
        <v>4081</v>
      </c>
      <c r="S804" s="1" t="s">
        <v>4971</v>
      </c>
      <c r="T804" s="6">
        <v>44593</v>
      </c>
      <c r="U804" s="6">
        <v>44593</v>
      </c>
      <c r="V804" s="7">
        <v>0.4900913425347222</v>
      </c>
      <c r="W804" s="6">
        <v>44624</v>
      </c>
      <c r="X804" s="7">
        <v>0.375</v>
      </c>
      <c r="Y804" s="8">
        <v>44662.611898148149</v>
      </c>
      <c r="Z804" s="5">
        <v>3400</v>
      </c>
      <c r="AA804" s="1" t="s">
        <v>3403</v>
      </c>
      <c r="AB804" s="1"/>
      <c r="AC804" s="1"/>
      <c r="AD804" s="1"/>
      <c r="AE804" s="1" t="s">
        <v>3801</v>
      </c>
      <c r="AF804" s="1" t="s">
        <v>9</v>
      </c>
      <c r="AG804" s="4">
        <v>13</v>
      </c>
      <c r="AH804" s="1"/>
      <c r="AI804" s="6">
        <v>44926</v>
      </c>
    </row>
    <row r="805" spans="1:35" x14ac:dyDescent="0.3">
      <c r="A805" s="1" t="s">
        <v>1936</v>
      </c>
      <c r="B805" s="2" t="str">
        <f>HYPERLINK("https://my.zakupki.prom.ua/remote/dispatcher/state_purchase_view/34683179")</f>
        <v>https://my.zakupki.prom.ua/remote/dispatcher/state_purchase_view/34683179</v>
      </c>
      <c r="C805" s="1" t="s">
        <v>2781</v>
      </c>
      <c r="D805" s="1" t="s">
        <v>387</v>
      </c>
      <c r="E805" s="4">
        <v>12000</v>
      </c>
      <c r="F805" s="5">
        <v>4.46</v>
      </c>
      <c r="G805" s="1" t="s">
        <v>3235</v>
      </c>
      <c r="H805" s="1" t="s">
        <v>569</v>
      </c>
      <c r="I805" s="1" t="s">
        <v>2801</v>
      </c>
      <c r="J805" s="5">
        <v>53500</v>
      </c>
      <c r="K805" s="1" t="s">
        <v>3394</v>
      </c>
      <c r="L805" s="5">
        <v>267.5</v>
      </c>
      <c r="M805" s="1" t="s">
        <v>2308</v>
      </c>
      <c r="N805" s="1" t="s">
        <v>3983</v>
      </c>
      <c r="O805" s="1" t="s">
        <v>2521</v>
      </c>
      <c r="P805" s="1" t="s">
        <v>3956</v>
      </c>
      <c r="Q805" s="1" t="s">
        <v>3035</v>
      </c>
      <c r="R805" s="1" t="s">
        <v>4196</v>
      </c>
      <c r="S805" s="1" t="s">
        <v>4937</v>
      </c>
      <c r="T805" s="6">
        <v>44593</v>
      </c>
      <c r="U805" s="6">
        <v>44599</v>
      </c>
      <c r="V805" s="7">
        <v>0.48819444444444443</v>
      </c>
      <c r="W805" s="6">
        <v>44604</v>
      </c>
      <c r="X805" s="7">
        <v>0.48819444444444443</v>
      </c>
      <c r="Y805" s="1" t="s">
        <v>4860</v>
      </c>
      <c r="Z805" s="5">
        <v>340</v>
      </c>
      <c r="AA805" s="1" t="s">
        <v>3403</v>
      </c>
      <c r="AB805" s="1"/>
      <c r="AC805" s="1"/>
      <c r="AD805" s="1"/>
      <c r="AE805" s="1" t="s">
        <v>3773</v>
      </c>
      <c r="AF805" s="1" t="s">
        <v>9</v>
      </c>
      <c r="AG805" s="1" t="s">
        <v>9</v>
      </c>
      <c r="AH805" s="6">
        <v>44593</v>
      </c>
      <c r="AI805" s="6">
        <v>44926</v>
      </c>
    </row>
    <row r="806" spans="1:35" x14ac:dyDescent="0.3">
      <c r="A806" s="1" t="s">
        <v>1935</v>
      </c>
      <c r="B806" s="2" t="str">
        <f>HYPERLINK("https://my.zakupki.prom.ua/remote/dispatcher/state_purchase_view/34683114")</f>
        <v>https://my.zakupki.prom.ua/remote/dispatcher/state_purchase_view/34683114</v>
      </c>
      <c r="C806" s="1" t="s">
        <v>2748</v>
      </c>
      <c r="D806" s="1" t="s">
        <v>715</v>
      </c>
      <c r="E806" s="1" t="s">
        <v>4903</v>
      </c>
      <c r="F806" s="1" t="s">
        <v>4903</v>
      </c>
      <c r="G806" s="1" t="s">
        <v>4903</v>
      </c>
      <c r="H806" s="1" t="s">
        <v>879</v>
      </c>
      <c r="I806" s="1" t="s">
        <v>3197</v>
      </c>
      <c r="J806" s="5">
        <v>9900</v>
      </c>
      <c r="K806" s="1" t="s">
        <v>3394</v>
      </c>
      <c r="L806" s="5">
        <v>49.5</v>
      </c>
      <c r="M806" s="1" t="s">
        <v>2308</v>
      </c>
      <c r="N806" s="1" t="s">
        <v>3983</v>
      </c>
      <c r="O806" s="1" t="s">
        <v>2521</v>
      </c>
      <c r="P806" s="1" t="s">
        <v>2762</v>
      </c>
      <c r="Q806" s="1" t="s">
        <v>2756</v>
      </c>
      <c r="R806" s="1" t="s">
        <v>4358</v>
      </c>
      <c r="S806" s="1" t="s">
        <v>4937</v>
      </c>
      <c r="T806" s="6">
        <v>44593</v>
      </c>
      <c r="U806" s="6">
        <v>44599</v>
      </c>
      <c r="V806" s="7">
        <v>0</v>
      </c>
      <c r="W806" s="6">
        <v>44602</v>
      </c>
      <c r="X806" s="7">
        <v>0</v>
      </c>
      <c r="Y806" s="1" t="s">
        <v>4860</v>
      </c>
      <c r="Z806" s="5">
        <v>17</v>
      </c>
      <c r="AA806" s="1" t="s">
        <v>3403</v>
      </c>
      <c r="AB806" s="1"/>
      <c r="AC806" s="1"/>
      <c r="AD806" s="1"/>
      <c r="AE806" s="1" t="s">
        <v>3779</v>
      </c>
      <c r="AF806" s="1" t="s">
        <v>9</v>
      </c>
      <c r="AG806" s="4">
        <v>8</v>
      </c>
      <c r="AH806" s="1"/>
      <c r="AI806" s="6">
        <v>44612</v>
      </c>
    </row>
    <row r="807" spans="1:35" x14ac:dyDescent="0.3">
      <c r="A807" s="1" t="s">
        <v>1934</v>
      </c>
      <c r="B807" s="2" t="str">
        <f>HYPERLINK("https://my.zakupki.prom.ua/remote/dispatcher/state_purchase_view/34683084")</f>
        <v>https://my.zakupki.prom.ua/remote/dispatcher/state_purchase_view/34683084</v>
      </c>
      <c r="C807" s="1" t="s">
        <v>214</v>
      </c>
      <c r="D807" s="1" t="s">
        <v>213</v>
      </c>
      <c r="E807" s="1" t="s">
        <v>4903</v>
      </c>
      <c r="F807" s="1" t="s">
        <v>4903</v>
      </c>
      <c r="G807" s="1" t="s">
        <v>4903</v>
      </c>
      <c r="H807" s="1" t="s">
        <v>575</v>
      </c>
      <c r="I807" s="1" t="s">
        <v>2844</v>
      </c>
      <c r="J807" s="5">
        <v>27100</v>
      </c>
      <c r="K807" s="1" t="s">
        <v>3394</v>
      </c>
      <c r="L807" s="5">
        <v>271</v>
      </c>
      <c r="M807" s="1" t="s">
        <v>2308</v>
      </c>
      <c r="N807" s="1" t="s">
        <v>3983</v>
      </c>
      <c r="O807" s="1" t="s">
        <v>2521</v>
      </c>
      <c r="P807" s="1" t="s">
        <v>2515</v>
      </c>
      <c r="Q807" s="1" t="s">
        <v>3238</v>
      </c>
      <c r="R807" s="1" t="s">
        <v>4080</v>
      </c>
      <c r="S807" s="1" t="s">
        <v>4971</v>
      </c>
      <c r="T807" s="6">
        <v>44593</v>
      </c>
      <c r="U807" s="6">
        <v>44593</v>
      </c>
      <c r="V807" s="7">
        <v>0.48845607575231481</v>
      </c>
      <c r="W807" s="6">
        <v>44609</v>
      </c>
      <c r="X807" s="7">
        <v>0.45833333333333331</v>
      </c>
      <c r="Y807" s="8">
        <v>44610.566018518519</v>
      </c>
      <c r="Z807" s="5">
        <v>119</v>
      </c>
      <c r="AA807" s="1" t="s">
        <v>3403</v>
      </c>
      <c r="AB807" s="1"/>
      <c r="AC807" s="1"/>
      <c r="AD807" s="1"/>
      <c r="AE807" s="1" t="s">
        <v>3779</v>
      </c>
      <c r="AF807" s="1" t="s">
        <v>9</v>
      </c>
      <c r="AG807" s="1" t="s">
        <v>9</v>
      </c>
      <c r="AH807" s="1"/>
      <c r="AI807" s="6">
        <v>44926</v>
      </c>
    </row>
    <row r="808" spans="1:35" x14ac:dyDescent="0.3">
      <c r="A808" s="1" t="s">
        <v>1352</v>
      </c>
      <c r="B808" s="2" t="str">
        <f>HYPERLINK("https://my.zakupki.prom.ua/remote/dispatcher/state_purchase_view/34683043")</f>
        <v>https://my.zakupki.prom.ua/remote/dispatcher/state_purchase_view/34683043</v>
      </c>
      <c r="C808" s="1" t="s">
        <v>4828</v>
      </c>
      <c r="D808" s="1" t="s">
        <v>1036</v>
      </c>
      <c r="E808" s="1" t="s">
        <v>4903</v>
      </c>
      <c r="F808" s="1" t="s">
        <v>4903</v>
      </c>
      <c r="G808" s="1" t="s">
        <v>4903</v>
      </c>
      <c r="H808" s="1" t="s">
        <v>32</v>
      </c>
      <c r="I808" s="1" t="s">
        <v>2696</v>
      </c>
      <c r="J808" s="5">
        <v>198000</v>
      </c>
      <c r="K808" s="1" t="s">
        <v>3394</v>
      </c>
      <c r="L808" s="5">
        <v>1980</v>
      </c>
      <c r="M808" s="1" t="s">
        <v>2308</v>
      </c>
      <c r="N808" s="1" t="s">
        <v>3983</v>
      </c>
      <c r="O808" s="1" t="s">
        <v>2521</v>
      </c>
      <c r="P808" s="1" t="s">
        <v>2762</v>
      </c>
      <c r="Q808" s="1" t="s">
        <v>2820</v>
      </c>
      <c r="R808" s="1" t="s">
        <v>4287</v>
      </c>
      <c r="S808" s="1" t="s">
        <v>4937</v>
      </c>
      <c r="T808" s="6">
        <v>44593</v>
      </c>
      <c r="U808" s="6">
        <v>44599</v>
      </c>
      <c r="V808" s="7">
        <v>0</v>
      </c>
      <c r="W808" s="6">
        <v>44601</v>
      </c>
      <c r="X808" s="7">
        <v>0</v>
      </c>
      <c r="Y808" s="1" t="s">
        <v>4860</v>
      </c>
      <c r="Z808" s="5">
        <v>340</v>
      </c>
      <c r="AA808" s="1" t="s">
        <v>3403</v>
      </c>
      <c r="AB808" s="1"/>
      <c r="AC808" s="1"/>
      <c r="AD808" s="1"/>
      <c r="AE808" s="1" t="s">
        <v>3795</v>
      </c>
      <c r="AF808" s="1" t="s">
        <v>9</v>
      </c>
      <c r="AG808" s="4">
        <v>2</v>
      </c>
      <c r="AH808" s="1"/>
      <c r="AI808" s="6">
        <v>44926</v>
      </c>
    </row>
    <row r="809" spans="1:35" x14ac:dyDescent="0.3">
      <c r="A809" s="1" t="s">
        <v>1351</v>
      </c>
      <c r="B809" s="2" t="str">
        <f>HYPERLINK("https://my.zakupki.prom.ua/remote/dispatcher/state_purchase_view/34683024")</f>
        <v>https://my.zakupki.prom.ua/remote/dispatcher/state_purchase_view/34683024</v>
      </c>
      <c r="C809" s="1" t="s">
        <v>4017</v>
      </c>
      <c r="D809" s="1" t="s">
        <v>435</v>
      </c>
      <c r="E809" s="1" t="s">
        <v>4903</v>
      </c>
      <c r="F809" s="1" t="s">
        <v>4903</v>
      </c>
      <c r="G809" s="1" t="s">
        <v>4903</v>
      </c>
      <c r="H809" s="1" t="s">
        <v>880</v>
      </c>
      <c r="I809" s="1" t="s">
        <v>2735</v>
      </c>
      <c r="J809" s="5">
        <v>175000</v>
      </c>
      <c r="K809" s="1" t="s">
        <v>3394</v>
      </c>
      <c r="L809" s="5">
        <v>875</v>
      </c>
      <c r="M809" s="1" t="s">
        <v>2308</v>
      </c>
      <c r="N809" s="1" t="s">
        <v>3983</v>
      </c>
      <c r="O809" s="1" t="s">
        <v>2521</v>
      </c>
      <c r="P809" s="1" t="s">
        <v>3956</v>
      </c>
      <c r="Q809" s="1" t="s">
        <v>3035</v>
      </c>
      <c r="R809" s="1" t="s">
        <v>4125</v>
      </c>
      <c r="S809" s="1" t="s">
        <v>4937</v>
      </c>
      <c r="T809" s="6">
        <v>44593</v>
      </c>
      <c r="U809" s="6">
        <v>44599</v>
      </c>
      <c r="V809" s="7">
        <v>0.75</v>
      </c>
      <c r="W809" s="6">
        <v>44602</v>
      </c>
      <c r="X809" s="7">
        <v>0.375</v>
      </c>
      <c r="Y809" s="1" t="s">
        <v>4860</v>
      </c>
      <c r="Z809" s="5">
        <v>340</v>
      </c>
      <c r="AA809" s="1" t="s">
        <v>3403</v>
      </c>
      <c r="AB809" s="1"/>
      <c r="AC809" s="1"/>
      <c r="AD809" s="1"/>
      <c r="AE809" s="1" t="s">
        <v>3787</v>
      </c>
      <c r="AF809" s="1" t="s">
        <v>9</v>
      </c>
      <c r="AG809" s="4">
        <v>53</v>
      </c>
      <c r="AH809" s="1"/>
      <c r="AI809" s="6">
        <v>44926</v>
      </c>
    </row>
    <row r="810" spans="1:35" x14ac:dyDescent="0.3">
      <c r="A810" s="1" t="s">
        <v>1562</v>
      </c>
      <c r="B810" s="2" t="str">
        <f>HYPERLINK("https://my.zakupki.prom.ua/remote/dispatcher/state_purchase_view/34683021")</f>
        <v>https://my.zakupki.prom.ua/remote/dispatcher/state_purchase_view/34683021</v>
      </c>
      <c r="C810" s="1" t="s">
        <v>3588</v>
      </c>
      <c r="D810" s="1" t="s">
        <v>1158</v>
      </c>
      <c r="E810" s="4">
        <v>402</v>
      </c>
      <c r="F810" s="5">
        <v>243.78</v>
      </c>
      <c r="G810" s="1" t="s">
        <v>4940</v>
      </c>
      <c r="H810" s="1" t="s">
        <v>1032</v>
      </c>
      <c r="I810" s="1" t="s">
        <v>3989</v>
      </c>
      <c r="J810" s="5">
        <v>98000</v>
      </c>
      <c r="K810" s="1" t="s">
        <v>3394</v>
      </c>
      <c r="L810" s="5">
        <v>490</v>
      </c>
      <c r="M810" s="1" t="s">
        <v>2308</v>
      </c>
      <c r="N810" s="1" t="s">
        <v>3983</v>
      </c>
      <c r="O810" s="1" t="s">
        <v>2521</v>
      </c>
      <c r="P810" s="1" t="s">
        <v>3956</v>
      </c>
      <c r="Q810" s="1" t="s">
        <v>3325</v>
      </c>
      <c r="R810" s="1" t="s">
        <v>4172</v>
      </c>
      <c r="S810" s="1" t="s">
        <v>4937</v>
      </c>
      <c r="T810" s="6">
        <v>44593</v>
      </c>
      <c r="U810" s="6">
        <v>44599</v>
      </c>
      <c r="V810" s="7">
        <v>0</v>
      </c>
      <c r="W810" s="6">
        <v>44602</v>
      </c>
      <c r="X810" s="7">
        <v>0</v>
      </c>
      <c r="Y810" s="1" t="s">
        <v>4860</v>
      </c>
      <c r="Z810" s="5">
        <v>340</v>
      </c>
      <c r="AA810" s="1" t="s">
        <v>3403</v>
      </c>
      <c r="AB810" s="1"/>
      <c r="AC810" s="1"/>
      <c r="AD810" s="1"/>
      <c r="AE810" s="1" t="s">
        <v>3754</v>
      </c>
      <c r="AF810" s="1" t="s">
        <v>9</v>
      </c>
      <c r="AG810" s="4">
        <v>2</v>
      </c>
      <c r="AH810" s="1"/>
      <c r="AI810" s="6">
        <v>44926</v>
      </c>
    </row>
    <row r="811" spans="1:35" x14ac:dyDescent="0.3">
      <c r="A811" s="1" t="s">
        <v>1564</v>
      </c>
      <c r="B811" s="2" t="str">
        <f>HYPERLINK("https://my.zakupki.prom.ua/remote/dispatcher/state_purchase_view/34683011")</f>
        <v>https://my.zakupki.prom.ua/remote/dispatcher/state_purchase_view/34683011</v>
      </c>
      <c r="C811" s="1" t="s">
        <v>1231</v>
      </c>
      <c r="D811" s="1" t="s">
        <v>1231</v>
      </c>
      <c r="E811" s="4">
        <v>12</v>
      </c>
      <c r="F811" s="5">
        <v>333.33</v>
      </c>
      <c r="G811" s="1" t="s">
        <v>4940</v>
      </c>
      <c r="H811" s="1" t="s">
        <v>935</v>
      </c>
      <c r="I811" s="1" t="s">
        <v>2798</v>
      </c>
      <c r="J811" s="5">
        <v>4000</v>
      </c>
      <c r="K811" s="1" t="s">
        <v>3394</v>
      </c>
      <c r="L811" s="5">
        <v>40</v>
      </c>
      <c r="M811" s="1" t="s">
        <v>2308</v>
      </c>
      <c r="N811" s="1" t="s">
        <v>3983</v>
      </c>
      <c r="O811" s="1" t="s">
        <v>2521</v>
      </c>
      <c r="P811" s="1" t="s">
        <v>3956</v>
      </c>
      <c r="Q811" s="1" t="s">
        <v>2528</v>
      </c>
      <c r="R811" s="1" t="s">
        <v>4470</v>
      </c>
      <c r="S811" s="1" t="s">
        <v>4937</v>
      </c>
      <c r="T811" s="6">
        <v>44593</v>
      </c>
      <c r="U811" s="6">
        <v>44599</v>
      </c>
      <c r="V811" s="7">
        <v>0</v>
      </c>
      <c r="W811" s="6">
        <v>44602</v>
      </c>
      <c r="X811" s="7">
        <v>0</v>
      </c>
      <c r="Y811" s="1" t="s">
        <v>4860</v>
      </c>
      <c r="Z811" s="5">
        <v>17</v>
      </c>
      <c r="AA811" s="1" t="s">
        <v>3403</v>
      </c>
      <c r="AB811" s="1"/>
      <c r="AC811" s="1"/>
      <c r="AD811" s="1"/>
      <c r="AE811" s="1" t="s">
        <v>3747</v>
      </c>
      <c r="AF811" s="1" t="s">
        <v>9</v>
      </c>
      <c r="AG811" s="1" t="s">
        <v>9</v>
      </c>
      <c r="AH811" s="1"/>
      <c r="AI811" s="6">
        <v>44926</v>
      </c>
    </row>
    <row r="812" spans="1:35" x14ac:dyDescent="0.3">
      <c r="A812" s="1" t="s">
        <v>1555</v>
      </c>
      <c r="B812" s="2" t="str">
        <f>HYPERLINK("https://my.zakupki.prom.ua/remote/dispatcher/state_purchase_lot_view/740655")</f>
        <v>https://my.zakupki.prom.ua/remote/dispatcher/state_purchase_lot_view/740655</v>
      </c>
      <c r="C812" s="1" t="s">
        <v>4915</v>
      </c>
      <c r="D812" s="1" t="s">
        <v>1101</v>
      </c>
      <c r="E812" s="4">
        <v>4183</v>
      </c>
      <c r="F812" s="5">
        <v>232.73</v>
      </c>
      <c r="G812" s="1" t="s">
        <v>4991</v>
      </c>
      <c r="H812" s="1" t="s">
        <v>527</v>
      </c>
      <c r="I812" s="1" t="s">
        <v>3081</v>
      </c>
      <c r="J812" s="5">
        <v>973500</v>
      </c>
      <c r="K812" s="5">
        <v>973500</v>
      </c>
      <c r="L812" s="5">
        <v>9735</v>
      </c>
      <c r="M812" s="1" t="s">
        <v>2308</v>
      </c>
      <c r="N812" s="1" t="s">
        <v>3983</v>
      </c>
      <c r="O812" s="1" t="s">
        <v>2521</v>
      </c>
      <c r="P812" s="1" t="s">
        <v>2515</v>
      </c>
      <c r="Q812" s="1" t="s">
        <v>4798</v>
      </c>
      <c r="R812" s="1" t="s">
        <v>4081</v>
      </c>
      <c r="S812" s="1" t="s">
        <v>4971</v>
      </c>
      <c r="T812" s="6">
        <v>44593</v>
      </c>
      <c r="U812" s="6">
        <v>44593</v>
      </c>
      <c r="V812" s="7">
        <v>0.4821476841203704</v>
      </c>
      <c r="W812" s="6">
        <v>44621</v>
      </c>
      <c r="X812" s="7">
        <v>0.33333333333333331</v>
      </c>
      <c r="Y812" s="8">
        <v>44622.562025462961</v>
      </c>
      <c r="Z812" s="5">
        <v>510</v>
      </c>
      <c r="AA812" s="1" t="s">
        <v>3403</v>
      </c>
      <c r="AB812" s="1"/>
      <c r="AC812" s="1"/>
      <c r="AD812" s="1"/>
      <c r="AE812" s="1" t="s">
        <v>3718</v>
      </c>
      <c r="AF812" s="1" t="s">
        <v>9</v>
      </c>
      <c r="AG812" s="4">
        <v>1</v>
      </c>
      <c r="AH812" s="6">
        <v>44627</v>
      </c>
      <c r="AI812" s="6">
        <v>44926</v>
      </c>
    </row>
    <row r="813" spans="1:35" x14ac:dyDescent="0.3">
      <c r="A813" s="1" t="s">
        <v>1565</v>
      </c>
      <c r="B813" s="2" t="str">
        <f>HYPERLINK("https://my.zakupki.prom.ua/remote/dispatcher/state_purchase_view/34682989")</f>
        <v>https://my.zakupki.prom.ua/remote/dispatcher/state_purchase_view/34682989</v>
      </c>
      <c r="C813" s="1" t="s">
        <v>3919</v>
      </c>
      <c r="D813" s="1" t="s">
        <v>478</v>
      </c>
      <c r="E813" s="1" t="s">
        <v>4903</v>
      </c>
      <c r="F813" s="1" t="s">
        <v>4903</v>
      </c>
      <c r="G813" s="1" t="s">
        <v>4903</v>
      </c>
      <c r="H813" s="1" t="s">
        <v>671</v>
      </c>
      <c r="I813" s="1" t="s">
        <v>2959</v>
      </c>
      <c r="J813" s="5">
        <v>27600</v>
      </c>
      <c r="K813" s="1" t="s">
        <v>3394</v>
      </c>
      <c r="L813" s="5">
        <v>138</v>
      </c>
      <c r="M813" s="1" t="s">
        <v>2308</v>
      </c>
      <c r="N813" s="1" t="s">
        <v>3983</v>
      </c>
      <c r="O813" s="1" t="s">
        <v>2521</v>
      </c>
      <c r="P813" s="1" t="s">
        <v>3956</v>
      </c>
      <c r="Q813" s="1" t="s">
        <v>2528</v>
      </c>
      <c r="R813" s="1" t="s">
        <v>4526</v>
      </c>
      <c r="S813" s="1" t="s">
        <v>4937</v>
      </c>
      <c r="T813" s="6">
        <v>44593</v>
      </c>
      <c r="U813" s="6">
        <v>44599</v>
      </c>
      <c r="V813" s="7">
        <v>0.54166666666666663</v>
      </c>
      <c r="W813" s="6">
        <v>44602</v>
      </c>
      <c r="X813" s="7">
        <v>0.70833333333333337</v>
      </c>
      <c r="Y813" s="1" t="s">
        <v>4860</v>
      </c>
      <c r="Z813" s="5">
        <v>119</v>
      </c>
      <c r="AA813" s="1" t="s">
        <v>3403</v>
      </c>
      <c r="AB813" s="1"/>
      <c r="AC813" s="1"/>
      <c r="AD813" s="1"/>
      <c r="AE813" s="1" t="s">
        <v>3788</v>
      </c>
      <c r="AF813" s="1" t="s">
        <v>9</v>
      </c>
      <c r="AG813" s="4">
        <v>1</v>
      </c>
      <c r="AH813" s="1"/>
      <c r="AI813" s="6">
        <v>44926</v>
      </c>
    </row>
    <row r="814" spans="1:35" x14ac:dyDescent="0.3">
      <c r="A814" s="1" t="s">
        <v>1933</v>
      </c>
      <c r="B814" s="2" t="str">
        <f>HYPERLINK("https://my.zakupki.prom.ua/remote/dispatcher/state_purchase_view/34682958")</f>
        <v>https://my.zakupki.prom.ua/remote/dispatcher/state_purchase_view/34682958</v>
      </c>
      <c r="C814" s="1" t="s">
        <v>3836</v>
      </c>
      <c r="D814" s="1" t="s">
        <v>1139</v>
      </c>
      <c r="E814" s="4">
        <v>1</v>
      </c>
      <c r="F814" s="5">
        <v>170810</v>
      </c>
      <c r="G814" s="1" t="s">
        <v>4976</v>
      </c>
      <c r="H814" s="1" t="s">
        <v>599</v>
      </c>
      <c r="I814" s="1" t="s">
        <v>3646</v>
      </c>
      <c r="J814" s="5">
        <v>170810</v>
      </c>
      <c r="K814" s="1" t="s">
        <v>3394</v>
      </c>
      <c r="L814" s="5">
        <v>860</v>
      </c>
      <c r="M814" s="1" t="s">
        <v>2308</v>
      </c>
      <c r="N814" s="1" t="s">
        <v>3983</v>
      </c>
      <c r="O814" s="1" t="s">
        <v>2521</v>
      </c>
      <c r="P814" s="1" t="s">
        <v>3956</v>
      </c>
      <c r="Q814" s="1" t="s">
        <v>3238</v>
      </c>
      <c r="R814" s="1" t="s">
        <v>4316</v>
      </c>
      <c r="S814" s="1" t="s">
        <v>4937</v>
      </c>
      <c r="T814" s="6">
        <v>44593</v>
      </c>
      <c r="U814" s="6">
        <v>44599</v>
      </c>
      <c r="V814" s="7">
        <v>0.70833333333333337</v>
      </c>
      <c r="W814" s="6">
        <v>44602</v>
      </c>
      <c r="X814" s="7">
        <v>0.66666666666666663</v>
      </c>
      <c r="Y814" s="1" t="s">
        <v>4860</v>
      </c>
      <c r="Z814" s="5">
        <v>340</v>
      </c>
      <c r="AA814" s="1" t="s">
        <v>3403</v>
      </c>
      <c r="AB814" s="1"/>
      <c r="AC814" s="1"/>
      <c r="AD814" s="1"/>
      <c r="AE814" s="1" t="s">
        <v>3704</v>
      </c>
      <c r="AF814" s="1" t="s">
        <v>9</v>
      </c>
      <c r="AG814" s="4">
        <v>17</v>
      </c>
      <c r="AH814" s="6">
        <v>44607</v>
      </c>
      <c r="AI814" s="6">
        <v>44681</v>
      </c>
    </row>
    <row r="815" spans="1:35" x14ac:dyDescent="0.3">
      <c r="A815" s="1" t="s">
        <v>1355</v>
      </c>
      <c r="B815" s="2" t="str">
        <f>HYPERLINK("https://my.zakupki.prom.ua/remote/dispatcher/state_purchase_view/34682935")</f>
        <v>https://my.zakupki.prom.ua/remote/dispatcher/state_purchase_view/34682935</v>
      </c>
      <c r="C815" s="1" t="s">
        <v>4002</v>
      </c>
      <c r="D815" s="1" t="s">
        <v>1163</v>
      </c>
      <c r="E815" s="4">
        <v>1</v>
      </c>
      <c r="F815" s="5">
        <v>4000</v>
      </c>
      <c r="G815" s="1" t="s">
        <v>4939</v>
      </c>
      <c r="H815" s="1" t="s">
        <v>945</v>
      </c>
      <c r="I815" s="1" t="s">
        <v>2732</v>
      </c>
      <c r="J815" s="5">
        <v>4000</v>
      </c>
      <c r="K815" s="1" t="s">
        <v>3394</v>
      </c>
      <c r="L815" s="5">
        <v>40</v>
      </c>
      <c r="M815" s="1" t="s">
        <v>2308</v>
      </c>
      <c r="N815" s="1" t="s">
        <v>3403</v>
      </c>
      <c r="O815" s="1" t="s">
        <v>2521</v>
      </c>
      <c r="P815" s="1" t="s">
        <v>2515</v>
      </c>
      <c r="Q815" s="1" t="s">
        <v>4798</v>
      </c>
      <c r="R815" s="1" t="s">
        <v>4081</v>
      </c>
      <c r="S815" s="1" t="s">
        <v>4971</v>
      </c>
      <c r="T815" s="6">
        <v>44593</v>
      </c>
      <c r="U815" s="6">
        <v>44593</v>
      </c>
      <c r="V815" s="7">
        <v>0.4884722222222222</v>
      </c>
      <c r="W815" s="6">
        <v>44609</v>
      </c>
      <c r="X815" s="7">
        <v>0.99930555555555556</v>
      </c>
      <c r="Y815" s="8">
        <v>44610.639351851853</v>
      </c>
      <c r="Z815" s="5">
        <v>17</v>
      </c>
      <c r="AA815" s="1" t="s">
        <v>3403</v>
      </c>
      <c r="AB815" s="1"/>
      <c r="AC815" s="1"/>
      <c r="AD815" s="1"/>
      <c r="AE815" s="1" t="s">
        <v>3736</v>
      </c>
      <c r="AF815" s="1" t="s">
        <v>9</v>
      </c>
      <c r="AG815" s="4">
        <v>20</v>
      </c>
      <c r="AH815" s="1"/>
      <c r="AI815" s="6">
        <v>44926</v>
      </c>
    </row>
    <row r="816" spans="1:35" x14ac:dyDescent="0.3">
      <c r="A816" s="1" t="s">
        <v>1350</v>
      </c>
      <c r="B816" s="2" t="str">
        <f>HYPERLINK("https://my.zakupki.prom.ua/remote/dispatcher/state_purchase_view/34682933")</f>
        <v>https://my.zakupki.prom.ua/remote/dispatcher/state_purchase_view/34682933</v>
      </c>
      <c r="C816" s="1" t="s">
        <v>2534</v>
      </c>
      <c r="D816" s="1" t="s">
        <v>572</v>
      </c>
      <c r="E816" s="1" t="s">
        <v>4903</v>
      </c>
      <c r="F816" s="1" t="s">
        <v>4903</v>
      </c>
      <c r="G816" s="1" t="s">
        <v>4903</v>
      </c>
      <c r="H816" s="1" t="s">
        <v>129</v>
      </c>
      <c r="I816" s="1" t="s">
        <v>2822</v>
      </c>
      <c r="J816" s="5">
        <v>140000</v>
      </c>
      <c r="K816" s="1" t="s">
        <v>3394</v>
      </c>
      <c r="L816" s="5">
        <v>700</v>
      </c>
      <c r="M816" s="1" t="s">
        <v>2308</v>
      </c>
      <c r="N816" s="1" t="s">
        <v>3403</v>
      </c>
      <c r="O816" s="1" t="s">
        <v>2521</v>
      </c>
      <c r="P816" s="1" t="s">
        <v>2515</v>
      </c>
      <c r="Q816" s="1" t="s">
        <v>2820</v>
      </c>
      <c r="R816" s="1" t="s">
        <v>4660</v>
      </c>
      <c r="S816" s="1" t="s">
        <v>4971</v>
      </c>
      <c r="T816" s="6">
        <v>44593</v>
      </c>
      <c r="U816" s="6">
        <v>44593</v>
      </c>
      <c r="V816" s="7">
        <v>0.48554398148148148</v>
      </c>
      <c r="W816" s="6">
        <v>44609</v>
      </c>
      <c r="X816" s="7">
        <v>0.375</v>
      </c>
      <c r="Y816" s="8">
        <v>44610.602002314816</v>
      </c>
      <c r="Z816" s="5">
        <v>340</v>
      </c>
      <c r="AA816" s="1" t="s">
        <v>3403</v>
      </c>
      <c r="AB816" s="1"/>
      <c r="AC816" s="1"/>
      <c r="AD816" s="1"/>
      <c r="AE816" s="1" t="s">
        <v>2358</v>
      </c>
      <c r="AF816" s="1" t="s">
        <v>9</v>
      </c>
      <c r="AG816" s="4">
        <v>32</v>
      </c>
      <c r="AH816" s="1"/>
      <c r="AI816" s="6">
        <v>44918</v>
      </c>
    </row>
    <row r="817" spans="1:35" x14ac:dyDescent="0.3">
      <c r="A817" s="1" t="s">
        <v>1567</v>
      </c>
      <c r="B817" s="2" t="str">
        <f>HYPERLINK("https://my.zakupki.prom.ua/remote/dispatcher/state_purchase_lot_view/740653")</f>
        <v>https://my.zakupki.prom.ua/remote/dispatcher/state_purchase_lot_view/740653</v>
      </c>
      <c r="C817" s="1" t="s">
        <v>3624</v>
      </c>
      <c r="D817" s="1" t="s">
        <v>1191</v>
      </c>
      <c r="E817" s="4">
        <v>1</v>
      </c>
      <c r="F817" s="5">
        <v>1504170</v>
      </c>
      <c r="G817" s="1" t="s">
        <v>4940</v>
      </c>
      <c r="H817" s="1" t="s">
        <v>1047</v>
      </c>
      <c r="I817" s="1" t="s">
        <v>2428</v>
      </c>
      <c r="J817" s="5">
        <v>1989900</v>
      </c>
      <c r="K817" s="5">
        <v>1504170</v>
      </c>
      <c r="L817" s="5">
        <v>7520.85</v>
      </c>
      <c r="M817" s="1" t="s">
        <v>2308</v>
      </c>
      <c r="N817" s="1" t="s">
        <v>3983</v>
      </c>
      <c r="O817" s="1" t="s">
        <v>2521</v>
      </c>
      <c r="P817" s="1" t="s">
        <v>2515</v>
      </c>
      <c r="Q817" s="1" t="s">
        <v>3264</v>
      </c>
      <c r="R817" s="1" t="s">
        <v>4426</v>
      </c>
      <c r="S817" s="1" t="s">
        <v>4971</v>
      </c>
      <c r="T817" s="6">
        <v>44593</v>
      </c>
      <c r="U817" s="6">
        <v>44593</v>
      </c>
      <c r="V817" s="7">
        <v>0.48637659350694445</v>
      </c>
      <c r="W817" s="6">
        <v>44609</v>
      </c>
      <c r="X817" s="7">
        <v>0</v>
      </c>
      <c r="Y817" s="8">
        <v>44609.610925925925</v>
      </c>
      <c r="Z817" s="5">
        <v>1700</v>
      </c>
      <c r="AA817" s="1" t="s">
        <v>3403</v>
      </c>
      <c r="AB817" s="1"/>
      <c r="AC817" s="1"/>
      <c r="AD817" s="1"/>
      <c r="AE817" s="1" t="s">
        <v>3750</v>
      </c>
      <c r="AF817" s="1" t="s">
        <v>9</v>
      </c>
      <c r="AG817" s="4">
        <v>4</v>
      </c>
      <c r="AH817" s="1"/>
      <c r="AI817" s="6">
        <v>44926</v>
      </c>
    </row>
    <row r="818" spans="1:35" x14ac:dyDescent="0.3">
      <c r="A818" s="1" t="s">
        <v>1567</v>
      </c>
      <c r="B818" s="2" t="str">
        <f>HYPERLINK("https://my.zakupki.prom.ua/remote/dispatcher/state_purchase_lot_view/740654")</f>
        <v>https://my.zakupki.prom.ua/remote/dispatcher/state_purchase_lot_view/740654</v>
      </c>
      <c r="C818" s="1" t="s">
        <v>3625</v>
      </c>
      <c r="D818" s="1" t="s">
        <v>1191</v>
      </c>
      <c r="E818" s="4">
        <v>1</v>
      </c>
      <c r="F818" s="5">
        <v>485730</v>
      </c>
      <c r="G818" s="1" t="s">
        <v>4940</v>
      </c>
      <c r="H818" s="1" t="s">
        <v>1047</v>
      </c>
      <c r="I818" s="1" t="s">
        <v>2428</v>
      </c>
      <c r="J818" s="5">
        <v>1989900</v>
      </c>
      <c r="K818" s="5">
        <v>485730</v>
      </c>
      <c r="L818" s="5">
        <v>2428.65</v>
      </c>
      <c r="M818" s="1" t="s">
        <v>2308</v>
      </c>
      <c r="N818" s="1" t="s">
        <v>3983</v>
      </c>
      <c r="O818" s="1" t="s">
        <v>2521</v>
      </c>
      <c r="P818" s="1" t="s">
        <v>2515</v>
      </c>
      <c r="Q818" s="1" t="s">
        <v>3264</v>
      </c>
      <c r="R818" s="1" t="s">
        <v>4457</v>
      </c>
      <c r="S818" s="1" t="s">
        <v>4971</v>
      </c>
      <c r="T818" s="6">
        <v>44593</v>
      </c>
      <c r="U818" s="6">
        <v>44593</v>
      </c>
      <c r="V818" s="7">
        <v>0.48637659350694445</v>
      </c>
      <c r="W818" s="6">
        <v>44609</v>
      </c>
      <c r="X818" s="7">
        <v>0</v>
      </c>
      <c r="Y818" s="8">
        <v>44609.625648148147</v>
      </c>
      <c r="Z818" s="5">
        <v>510</v>
      </c>
      <c r="AA818" s="1" t="s">
        <v>3403</v>
      </c>
      <c r="AB818" s="1"/>
      <c r="AC818" s="1"/>
      <c r="AD818" s="1"/>
      <c r="AE818" s="1" t="s">
        <v>3750</v>
      </c>
      <c r="AF818" s="1" t="s">
        <v>9</v>
      </c>
      <c r="AG818" s="4">
        <v>4</v>
      </c>
      <c r="AH818" s="1"/>
      <c r="AI818" s="6">
        <v>44926</v>
      </c>
    </row>
    <row r="819" spans="1:35" x14ac:dyDescent="0.3">
      <c r="A819" s="1" t="s">
        <v>1827</v>
      </c>
      <c r="B819" s="2" t="str">
        <f>HYPERLINK("https://my.zakupki.prom.ua/remote/dispatcher/state_purchase_view/34682890")</f>
        <v>https://my.zakupki.prom.ua/remote/dispatcher/state_purchase_view/34682890</v>
      </c>
      <c r="C819" s="1" t="s">
        <v>3844</v>
      </c>
      <c r="D819" s="1" t="s">
        <v>1177</v>
      </c>
      <c r="E819" s="4">
        <v>1</v>
      </c>
      <c r="F819" s="5">
        <v>713040</v>
      </c>
      <c r="G819" s="1" t="s">
        <v>4940</v>
      </c>
      <c r="H819" s="1" t="s">
        <v>419</v>
      </c>
      <c r="I819" s="1" t="s">
        <v>2698</v>
      </c>
      <c r="J819" s="5">
        <v>713040</v>
      </c>
      <c r="K819" s="1" t="s">
        <v>3394</v>
      </c>
      <c r="L819" s="5">
        <v>3566</v>
      </c>
      <c r="M819" s="1" t="s">
        <v>2308</v>
      </c>
      <c r="N819" s="1" t="s">
        <v>3983</v>
      </c>
      <c r="O819" s="1" t="s">
        <v>2521</v>
      </c>
      <c r="P819" s="1" t="s">
        <v>2515</v>
      </c>
      <c r="Q819" s="1" t="s">
        <v>2756</v>
      </c>
      <c r="R819" s="1" t="s">
        <v>4081</v>
      </c>
      <c r="S819" s="1" t="s">
        <v>4971</v>
      </c>
      <c r="T819" s="6">
        <v>44593</v>
      </c>
      <c r="U819" s="6">
        <v>44593</v>
      </c>
      <c r="V819" s="7">
        <v>0.47429515907407405</v>
      </c>
      <c r="W819" s="6">
        <v>44609</v>
      </c>
      <c r="X819" s="7">
        <v>0.47775462962962961</v>
      </c>
      <c r="Y819" s="8">
        <v>44610.647534722222</v>
      </c>
      <c r="Z819" s="5">
        <v>510</v>
      </c>
      <c r="AA819" s="1" t="s">
        <v>3403</v>
      </c>
      <c r="AB819" s="1"/>
      <c r="AC819" s="1"/>
      <c r="AD819" s="1"/>
      <c r="AE819" s="1" t="s">
        <v>3749</v>
      </c>
      <c r="AF819" s="1" t="s">
        <v>9</v>
      </c>
      <c r="AG819" s="4">
        <v>83</v>
      </c>
      <c r="AH819" s="6">
        <v>44613</v>
      </c>
      <c r="AI819" s="6">
        <v>44926</v>
      </c>
    </row>
    <row r="820" spans="1:35" x14ac:dyDescent="0.3">
      <c r="A820" s="1" t="s">
        <v>1561</v>
      </c>
      <c r="B820" s="2" t="str">
        <f>HYPERLINK("https://my.zakupki.prom.ua/remote/dispatcher/state_purchase_view/34682887")</f>
        <v>https://my.zakupki.prom.ua/remote/dispatcher/state_purchase_view/34682887</v>
      </c>
      <c r="C820" s="1" t="s">
        <v>3332</v>
      </c>
      <c r="D820" s="1" t="s">
        <v>471</v>
      </c>
      <c r="E820" s="4">
        <v>7400</v>
      </c>
      <c r="F820" s="5">
        <v>27</v>
      </c>
      <c r="G820" s="1" t="s">
        <v>4902</v>
      </c>
      <c r="H820" s="1" t="s">
        <v>602</v>
      </c>
      <c r="I820" s="1" t="s">
        <v>2810</v>
      </c>
      <c r="J820" s="5">
        <v>199800</v>
      </c>
      <c r="K820" s="1" t="s">
        <v>3394</v>
      </c>
      <c r="L820" s="5">
        <v>1998</v>
      </c>
      <c r="M820" s="1" t="s">
        <v>2308</v>
      </c>
      <c r="N820" s="1" t="s">
        <v>3983</v>
      </c>
      <c r="O820" s="1" t="s">
        <v>2521</v>
      </c>
      <c r="P820" s="1" t="s">
        <v>3956</v>
      </c>
      <c r="Q820" s="1" t="s">
        <v>3878</v>
      </c>
      <c r="R820" s="1" t="s">
        <v>4097</v>
      </c>
      <c r="S820" s="1" t="s">
        <v>4937</v>
      </c>
      <c r="T820" s="6">
        <v>44593</v>
      </c>
      <c r="U820" s="6">
        <v>44599</v>
      </c>
      <c r="V820" s="7">
        <v>0</v>
      </c>
      <c r="W820" s="6">
        <v>44602</v>
      </c>
      <c r="X820" s="7">
        <v>0</v>
      </c>
      <c r="Y820" s="1" t="s">
        <v>4860</v>
      </c>
      <c r="Z820" s="5">
        <v>340</v>
      </c>
      <c r="AA820" s="1" t="s">
        <v>3403</v>
      </c>
      <c r="AB820" s="1"/>
      <c r="AC820" s="1"/>
      <c r="AD820" s="1"/>
      <c r="AE820" s="1" t="s">
        <v>3768</v>
      </c>
      <c r="AF820" s="1" t="s">
        <v>9</v>
      </c>
      <c r="AG820" s="1" t="s">
        <v>9</v>
      </c>
      <c r="AH820" s="1"/>
      <c r="AI820" s="6">
        <v>44926</v>
      </c>
    </row>
    <row r="821" spans="1:35" x14ac:dyDescent="0.3">
      <c r="A821" s="1" t="s">
        <v>1353</v>
      </c>
      <c r="B821" s="2" t="str">
        <f>HYPERLINK("https://my.zakupki.prom.ua/remote/dispatcher/state_purchase_view/34682886")</f>
        <v>https://my.zakupki.prom.ua/remote/dispatcher/state_purchase_view/34682886</v>
      </c>
      <c r="C821" s="1" t="s">
        <v>4717</v>
      </c>
      <c r="D821" s="1" t="s">
        <v>1043</v>
      </c>
      <c r="E821" s="4">
        <v>1</v>
      </c>
      <c r="F821" s="5">
        <v>1097921</v>
      </c>
      <c r="G821" s="1" t="s">
        <v>4989</v>
      </c>
      <c r="H821" s="1" t="s">
        <v>418</v>
      </c>
      <c r="I821" s="1" t="s">
        <v>2572</v>
      </c>
      <c r="J821" s="5">
        <v>1097921</v>
      </c>
      <c r="K821" s="1" t="s">
        <v>3394</v>
      </c>
      <c r="L821" s="5">
        <v>5489.61</v>
      </c>
      <c r="M821" s="1" t="s">
        <v>2308</v>
      </c>
      <c r="N821" s="1" t="s">
        <v>3403</v>
      </c>
      <c r="O821" s="1" t="s">
        <v>2521</v>
      </c>
      <c r="P821" s="1" t="s">
        <v>2762</v>
      </c>
      <c r="Q821" s="1" t="s">
        <v>3035</v>
      </c>
      <c r="R821" s="1" t="s">
        <v>4081</v>
      </c>
      <c r="S821" s="1" t="s">
        <v>4937</v>
      </c>
      <c r="T821" s="6">
        <v>44593</v>
      </c>
      <c r="U821" s="6">
        <v>44603</v>
      </c>
      <c r="V821" s="7">
        <v>0.66666666666666663</v>
      </c>
      <c r="W821" s="6">
        <v>44609</v>
      </c>
      <c r="X821" s="7">
        <v>0.41666666666666669</v>
      </c>
      <c r="Y821" s="1" t="s">
        <v>4860</v>
      </c>
      <c r="Z821" s="5">
        <v>1700</v>
      </c>
      <c r="AA821" s="1" t="s">
        <v>3403</v>
      </c>
      <c r="AB821" s="1"/>
      <c r="AC821" s="1"/>
      <c r="AD821" s="1"/>
      <c r="AE821" s="1" t="s">
        <v>2367</v>
      </c>
      <c r="AF821" s="1" t="s">
        <v>9</v>
      </c>
      <c r="AG821" s="1" t="s">
        <v>9</v>
      </c>
      <c r="AH821" s="1"/>
      <c r="AI821" s="6">
        <v>44651</v>
      </c>
    </row>
    <row r="822" spans="1:35" x14ac:dyDescent="0.3">
      <c r="A822" s="1" t="s">
        <v>1563</v>
      </c>
      <c r="B822" s="2" t="str">
        <f>HYPERLINK("https://my.zakupki.prom.ua/remote/dispatcher/state_purchase_view/34682878")</f>
        <v>https://my.zakupki.prom.ua/remote/dispatcher/state_purchase_view/34682878</v>
      </c>
      <c r="C822" s="1" t="s">
        <v>3574</v>
      </c>
      <c r="D822" s="1" t="s">
        <v>1158</v>
      </c>
      <c r="E822" s="4">
        <v>1</v>
      </c>
      <c r="F822" s="5">
        <v>150000</v>
      </c>
      <c r="G822" s="1" t="s">
        <v>4906</v>
      </c>
      <c r="H822" s="1" t="s">
        <v>883</v>
      </c>
      <c r="I822" s="1" t="s">
        <v>4740</v>
      </c>
      <c r="J822" s="5">
        <v>150000</v>
      </c>
      <c r="K822" s="1" t="s">
        <v>3394</v>
      </c>
      <c r="L822" s="5">
        <v>750</v>
      </c>
      <c r="M822" s="1" t="s">
        <v>2308</v>
      </c>
      <c r="N822" s="1" t="s">
        <v>3983</v>
      </c>
      <c r="O822" s="1" t="s">
        <v>2521</v>
      </c>
      <c r="P822" s="1" t="s">
        <v>3956</v>
      </c>
      <c r="Q822" s="1" t="s">
        <v>3035</v>
      </c>
      <c r="R822" s="1" t="s">
        <v>4164</v>
      </c>
      <c r="S822" s="1" t="s">
        <v>4937</v>
      </c>
      <c r="T822" s="6">
        <v>44593</v>
      </c>
      <c r="U822" s="6">
        <v>44599</v>
      </c>
      <c r="V822" s="7">
        <v>0.33333333333333331</v>
      </c>
      <c r="W822" s="6">
        <v>44602</v>
      </c>
      <c r="X822" s="7">
        <v>0.33333333333333331</v>
      </c>
      <c r="Y822" s="1" t="s">
        <v>4860</v>
      </c>
      <c r="Z822" s="5">
        <v>340</v>
      </c>
      <c r="AA822" s="1" t="s">
        <v>3403</v>
      </c>
      <c r="AB822" s="1"/>
      <c r="AC822" s="1"/>
      <c r="AD822" s="1"/>
      <c r="AE822" s="1" t="s">
        <v>3735</v>
      </c>
      <c r="AF822" s="1" t="s">
        <v>9</v>
      </c>
      <c r="AG822" s="4">
        <v>301</v>
      </c>
      <c r="AH822" s="1"/>
      <c r="AI822" s="6">
        <v>44925</v>
      </c>
    </row>
    <row r="823" spans="1:35" x14ac:dyDescent="0.3">
      <c r="A823" s="1" t="s">
        <v>1559</v>
      </c>
      <c r="B823" s="2" t="str">
        <f>HYPERLINK("https://my.zakupki.prom.ua/remote/dispatcher/state_purchase_view/34682874")</f>
        <v>https://my.zakupki.prom.ua/remote/dispatcher/state_purchase_view/34682874</v>
      </c>
      <c r="C823" s="1" t="s">
        <v>3901</v>
      </c>
      <c r="D823" s="1" t="s">
        <v>594</v>
      </c>
      <c r="E823" s="4">
        <v>12000</v>
      </c>
      <c r="F823" s="5">
        <v>0.44</v>
      </c>
      <c r="G823" s="1" t="s">
        <v>4989</v>
      </c>
      <c r="H823" s="1" t="s">
        <v>979</v>
      </c>
      <c r="I823" s="1" t="s">
        <v>2574</v>
      </c>
      <c r="J823" s="5">
        <v>5300</v>
      </c>
      <c r="K823" s="1" t="s">
        <v>3394</v>
      </c>
      <c r="L823" s="5">
        <v>53</v>
      </c>
      <c r="M823" s="1" t="s">
        <v>2308</v>
      </c>
      <c r="N823" s="1" t="s">
        <v>3403</v>
      </c>
      <c r="O823" s="1" t="s">
        <v>2521</v>
      </c>
      <c r="P823" s="1" t="s">
        <v>2762</v>
      </c>
      <c r="Q823" s="1" t="s">
        <v>2528</v>
      </c>
      <c r="R823" s="1" t="s">
        <v>4081</v>
      </c>
      <c r="S823" s="1" t="s">
        <v>4937</v>
      </c>
      <c r="T823" s="6">
        <v>44593</v>
      </c>
      <c r="U823" s="6">
        <v>44599</v>
      </c>
      <c r="V823" s="7">
        <v>0.5</v>
      </c>
      <c r="W823" s="6">
        <v>44602</v>
      </c>
      <c r="X823" s="7">
        <v>0.5</v>
      </c>
      <c r="Y823" s="1" t="s">
        <v>4860</v>
      </c>
      <c r="Z823" s="5">
        <v>17</v>
      </c>
      <c r="AA823" s="1" t="s">
        <v>3403</v>
      </c>
      <c r="AB823" s="1"/>
      <c r="AC823" s="1"/>
      <c r="AD823" s="1"/>
      <c r="AE823" s="1" t="s">
        <v>3774</v>
      </c>
      <c r="AF823" s="1" t="s">
        <v>9</v>
      </c>
      <c r="AG823" s="1" t="s">
        <v>9</v>
      </c>
      <c r="AH823" s="1"/>
      <c r="AI823" s="1"/>
    </row>
    <row r="824" spans="1:35" x14ac:dyDescent="0.3">
      <c r="A824" s="1" t="s">
        <v>1910</v>
      </c>
      <c r="B824" s="2" t="str">
        <f>HYPERLINK("https://my.zakupki.prom.ua/remote/dispatcher/state_purchase_view/34682871")</f>
        <v>https://my.zakupki.prom.ua/remote/dispatcher/state_purchase_view/34682871</v>
      </c>
      <c r="C824" s="1" t="s">
        <v>2393</v>
      </c>
      <c r="D824" s="1" t="s">
        <v>716</v>
      </c>
      <c r="E824" s="1" t="s">
        <v>4903</v>
      </c>
      <c r="F824" s="1" t="s">
        <v>4903</v>
      </c>
      <c r="G824" s="1" t="s">
        <v>4903</v>
      </c>
      <c r="H824" s="1" t="s">
        <v>263</v>
      </c>
      <c r="I824" s="1" t="s">
        <v>3191</v>
      </c>
      <c r="J824" s="5">
        <v>44135</v>
      </c>
      <c r="K824" s="1" t="s">
        <v>3394</v>
      </c>
      <c r="L824" s="5">
        <v>220.68</v>
      </c>
      <c r="M824" s="1" t="s">
        <v>2308</v>
      </c>
      <c r="N824" s="1" t="s">
        <v>3983</v>
      </c>
      <c r="O824" s="1" t="s">
        <v>2521</v>
      </c>
      <c r="P824" s="1" t="s">
        <v>3956</v>
      </c>
      <c r="Q824" s="1" t="s">
        <v>3035</v>
      </c>
      <c r="R824" s="1" t="s">
        <v>4689</v>
      </c>
      <c r="S824" s="1" t="s">
        <v>4937</v>
      </c>
      <c r="T824" s="6">
        <v>44593</v>
      </c>
      <c r="U824" s="6">
        <v>44599</v>
      </c>
      <c r="V824" s="7">
        <v>0.4375</v>
      </c>
      <c r="W824" s="6">
        <v>44603</v>
      </c>
      <c r="X824" s="7">
        <v>0.45833333333333331</v>
      </c>
      <c r="Y824" s="1" t="s">
        <v>4860</v>
      </c>
      <c r="Z824" s="5">
        <v>119</v>
      </c>
      <c r="AA824" s="1" t="s">
        <v>3403</v>
      </c>
      <c r="AB824" s="1"/>
      <c r="AC824" s="1"/>
      <c r="AD824" s="1"/>
      <c r="AE824" s="1" t="s">
        <v>3793</v>
      </c>
      <c r="AF824" s="1" t="s">
        <v>9</v>
      </c>
      <c r="AG824" s="4">
        <v>9</v>
      </c>
      <c r="AH824" s="1"/>
      <c r="AI824" s="6">
        <v>44926</v>
      </c>
    </row>
    <row r="825" spans="1:35" x14ac:dyDescent="0.3">
      <c r="A825" s="1" t="s">
        <v>1902</v>
      </c>
      <c r="B825" s="2" t="str">
        <f>HYPERLINK("https://my.zakupki.prom.ua/remote/dispatcher/state_purchase_view/34682869")</f>
        <v>https://my.zakupki.prom.ua/remote/dispatcher/state_purchase_view/34682869</v>
      </c>
      <c r="C825" s="1" t="s">
        <v>3224</v>
      </c>
      <c r="D825" s="1" t="s">
        <v>485</v>
      </c>
      <c r="E825" s="1" t="s">
        <v>4903</v>
      </c>
      <c r="F825" s="1" t="s">
        <v>4903</v>
      </c>
      <c r="G825" s="1" t="s">
        <v>4903</v>
      </c>
      <c r="H825" s="1" t="s">
        <v>864</v>
      </c>
      <c r="I825" s="1" t="s">
        <v>3199</v>
      </c>
      <c r="J825" s="5">
        <v>300617</v>
      </c>
      <c r="K825" s="1" t="s">
        <v>3394</v>
      </c>
      <c r="L825" s="5">
        <v>3006.17</v>
      </c>
      <c r="M825" s="1" t="s">
        <v>2308</v>
      </c>
      <c r="N825" s="1" t="s">
        <v>3983</v>
      </c>
      <c r="O825" s="1" t="s">
        <v>2521</v>
      </c>
      <c r="P825" s="1" t="s">
        <v>2515</v>
      </c>
      <c r="Q825" s="1" t="s">
        <v>4798</v>
      </c>
      <c r="R825" s="1" t="s">
        <v>4121</v>
      </c>
      <c r="S825" s="1" t="s">
        <v>4971</v>
      </c>
      <c r="T825" s="6">
        <v>44593</v>
      </c>
      <c r="U825" s="6">
        <v>44593</v>
      </c>
      <c r="V825" s="7">
        <v>0.48574074074074075</v>
      </c>
      <c r="W825" s="6">
        <v>44609</v>
      </c>
      <c r="X825" s="7">
        <v>0</v>
      </c>
      <c r="Y825" s="8">
        <v>44609.574432870373</v>
      </c>
      <c r="Z825" s="5">
        <v>510</v>
      </c>
      <c r="AA825" s="1" t="s">
        <v>3403</v>
      </c>
      <c r="AB825" s="1"/>
      <c r="AC825" s="1"/>
      <c r="AD825" s="1"/>
      <c r="AE825" s="1" t="s">
        <v>3788</v>
      </c>
      <c r="AF825" s="1" t="s">
        <v>9</v>
      </c>
      <c r="AG825" s="4">
        <v>5</v>
      </c>
      <c r="AH825" s="1"/>
      <c r="AI825" s="6">
        <v>44926</v>
      </c>
    </row>
    <row r="826" spans="1:35" x14ac:dyDescent="0.3">
      <c r="A826" s="1" t="s">
        <v>1560</v>
      </c>
      <c r="B826" s="2" t="str">
        <f>HYPERLINK("https://my.zakupki.prom.ua/remote/dispatcher/state_purchase_view/34682867")</f>
        <v>https://my.zakupki.prom.ua/remote/dispatcher/state_purchase_view/34682867</v>
      </c>
      <c r="C826" s="1" t="s">
        <v>3617</v>
      </c>
      <c r="D826" s="1" t="s">
        <v>1207</v>
      </c>
      <c r="E826" s="4">
        <v>1</v>
      </c>
      <c r="F826" s="5">
        <v>119650</v>
      </c>
      <c r="G826" s="1" t="s">
        <v>4940</v>
      </c>
      <c r="H826" s="1" t="s">
        <v>1113</v>
      </c>
      <c r="I826" s="1" t="s">
        <v>4030</v>
      </c>
      <c r="J826" s="5">
        <v>119650</v>
      </c>
      <c r="K826" s="1" t="s">
        <v>3394</v>
      </c>
      <c r="L826" s="5">
        <v>598.25</v>
      </c>
      <c r="M826" s="1" t="s">
        <v>2308</v>
      </c>
      <c r="N826" s="1" t="s">
        <v>3983</v>
      </c>
      <c r="O826" s="1" t="s">
        <v>2521</v>
      </c>
      <c r="P826" s="1" t="s">
        <v>3956</v>
      </c>
      <c r="Q826" s="1" t="s">
        <v>4831</v>
      </c>
      <c r="R826" s="1" t="s">
        <v>4081</v>
      </c>
      <c r="S826" s="1" t="s">
        <v>4937</v>
      </c>
      <c r="T826" s="6">
        <v>44593</v>
      </c>
      <c r="U826" s="6">
        <v>44599</v>
      </c>
      <c r="V826" s="7">
        <v>0.41666666666666669</v>
      </c>
      <c r="W826" s="6">
        <v>44602</v>
      </c>
      <c r="X826" s="7">
        <v>0.45833333333333331</v>
      </c>
      <c r="Y826" s="1" t="s">
        <v>4860</v>
      </c>
      <c r="Z826" s="5">
        <v>340</v>
      </c>
      <c r="AA826" s="1" t="s">
        <v>3403</v>
      </c>
      <c r="AB826" s="1"/>
      <c r="AC826" s="1"/>
      <c r="AD826" s="1"/>
      <c r="AE826" s="1" t="s">
        <v>3759</v>
      </c>
      <c r="AF826" s="1" t="s">
        <v>9</v>
      </c>
      <c r="AG826" s="4">
        <v>17</v>
      </c>
      <c r="AH826" s="1"/>
      <c r="AI826" s="6">
        <v>44926</v>
      </c>
    </row>
    <row r="827" spans="1:35" x14ac:dyDescent="0.3">
      <c r="A827" s="1" t="s">
        <v>1346</v>
      </c>
      <c r="B827" s="2" t="str">
        <f>HYPERLINK("https://my.zakupki.prom.ua/remote/dispatcher/state_purchase_view/34682866")</f>
        <v>https://my.zakupki.prom.ua/remote/dispatcher/state_purchase_view/34682866</v>
      </c>
      <c r="C827" s="1" t="s">
        <v>1206</v>
      </c>
      <c r="D827" s="1" t="s">
        <v>1207</v>
      </c>
      <c r="E827" s="4">
        <v>1</v>
      </c>
      <c r="F827" s="5">
        <v>1200</v>
      </c>
      <c r="G827" s="1" t="s">
        <v>4940</v>
      </c>
      <c r="H827" s="1" t="s">
        <v>928</v>
      </c>
      <c r="I827" s="1" t="s">
        <v>2568</v>
      </c>
      <c r="J827" s="5">
        <v>1200</v>
      </c>
      <c r="K827" s="1" t="s">
        <v>3394</v>
      </c>
      <c r="L827" s="5">
        <v>6</v>
      </c>
      <c r="M827" s="1" t="s">
        <v>2308</v>
      </c>
      <c r="N827" s="1" t="s">
        <v>3983</v>
      </c>
      <c r="O827" s="1" t="s">
        <v>2521</v>
      </c>
      <c r="P827" s="1" t="s">
        <v>3956</v>
      </c>
      <c r="Q827" s="1" t="s">
        <v>3264</v>
      </c>
      <c r="R827" s="1" t="s">
        <v>4275</v>
      </c>
      <c r="S827" s="1" t="s">
        <v>4937</v>
      </c>
      <c r="T827" s="6">
        <v>44593</v>
      </c>
      <c r="U827" s="6">
        <v>44599</v>
      </c>
      <c r="V827" s="7">
        <v>0.48182870370370373</v>
      </c>
      <c r="W827" s="6">
        <v>44607</v>
      </c>
      <c r="X827" s="7">
        <v>0.48182870370370373</v>
      </c>
      <c r="Y827" s="1" t="s">
        <v>4860</v>
      </c>
      <c r="Z827" s="5">
        <v>17</v>
      </c>
      <c r="AA827" s="1" t="s">
        <v>3403</v>
      </c>
      <c r="AB827" s="1"/>
      <c r="AC827" s="1"/>
      <c r="AD827" s="1"/>
      <c r="AE827" s="1" t="s">
        <v>3729</v>
      </c>
      <c r="AF827" s="1" t="s">
        <v>9</v>
      </c>
      <c r="AG827" s="4">
        <v>6</v>
      </c>
      <c r="AH827" s="6">
        <v>44562</v>
      </c>
      <c r="AI827" s="6">
        <v>44926</v>
      </c>
    </row>
    <row r="828" spans="1:35" x14ac:dyDescent="0.3">
      <c r="A828" s="1" t="s">
        <v>1343</v>
      </c>
      <c r="B828" s="2" t="str">
        <f>HYPERLINK("https://my.zakupki.prom.ua/remote/dispatcher/state_purchase_view/34682860")</f>
        <v>https://my.zakupki.prom.ua/remote/dispatcher/state_purchase_view/34682860</v>
      </c>
      <c r="C828" s="1" t="s">
        <v>3933</v>
      </c>
      <c r="D828" s="1" t="s">
        <v>480</v>
      </c>
      <c r="E828" s="1" t="s">
        <v>4903</v>
      </c>
      <c r="F828" s="1" t="s">
        <v>4903</v>
      </c>
      <c r="G828" s="1" t="s">
        <v>4903</v>
      </c>
      <c r="H828" s="1" t="s">
        <v>197</v>
      </c>
      <c r="I828" s="1" t="s">
        <v>2550</v>
      </c>
      <c r="J828" s="5">
        <v>150000</v>
      </c>
      <c r="K828" s="1" t="s">
        <v>3394</v>
      </c>
      <c r="L828" s="5">
        <v>750</v>
      </c>
      <c r="M828" s="1" t="s">
        <v>2308</v>
      </c>
      <c r="N828" s="1" t="s">
        <v>3983</v>
      </c>
      <c r="O828" s="1" t="s">
        <v>2521</v>
      </c>
      <c r="P828" s="1" t="s">
        <v>3956</v>
      </c>
      <c r="Q828" s="1" t="s">
        <v>4834</v>
      </c>
      <c r="R828" s="1" t="s">
        <v>4448</v>
      </c>
      <c r="S828" s="1" t="s">
        <v>4937</v>
      </c>
      <c r="T828" s="6">
        <v>44593</v>
      </c>
      <c r="U828" s="6">
        <v>44599</v>
      </c>
      <c r="V828" s="7">
        <v>0.47822916666666665</v>
      </c>
      <c r="W828" s="6">
        <v>44602</v>
      </c>
      <c r="X828" s="7">
        <v>0.47822916666666665</v>
      </c>
      <c r="Y828" s="1" t="s">
        <v>4860</v>
      </c>
      <c r="Z828" s="5">
        <v>340</v>
      </c>
      <c r="AA828" s="1" t="s">
        <v>3403</v>
      </c>
      <c r="AB828" s="1"/>
      <c r="AC828" s="1"/>
      <c r="AD828" s="1"/>
      <c r="AE828" s="1" t="s">
        <v>3788</v>
      </c>
      <c r="AF828" s="1" t="s">
        <v>9</v>
      </c>
      <c r="AG828" s="4">
        <v>10</v>
      </c>
      <c r="AH828" s="1"/>
      <c r="AI828" s="6">
        <v>44926</v>
      </c>
    </row>
    <row r="829" spans="1:35" x14ac:dyDescent="0.3">
      <c r="A829" s="1" t="s">
        <v>1349</v>
      </c>
      <c r="B829" s="2" t="str">
        <f>HYPERLINK("https://my.zakupki.prom.ua/remote/dispatcher/state_purchase_view/34682858")</f>
        <v>https://my.zakupki.prom.ua/remote/dispatcher/state_purchase_view/34682858</v>
      </c>
      <c r="C829" s="1" t="s">
        <v>3923</v>
      </c>
      <c r="D829" s="1" t="s">
        <v>479</v>
      </c>
      <c r="E829" s="1" t="s">
        <v>4903</v>
      </c>
      <c r="F829" s="1" t="s">
        <v>4903</v>
      </c>
      <c r="G829" s="1" t="s">
        <v>4903</v>
      </c>
      <c r="H829" s="1" t="s">
        <v>710</v>
      </c>
      <c r="I829" s="1" t="s">
        <v>4843</v>
      </c>
      <c r="J829" s="5">
        <v>178000</v>
      </c>
      <c r="K829" s="1" t="s">
        <v>3394</v>
      </c>
      <c r="L829" s="5">
        <v>890</v>
      </c>
      <c r="M829" s="1" t="s">
        <v>2308</v>
      </c>
      <c r="N829" s="1" t="s">
        <v>3983</v>
      </c>
      <c r="O829" s="1" t="s">
        <v>2521</v>
      </c>
      <c r="P829" s="1" t="s">
        <v>3956</v>
      </c>
      <c r="Q829" s="1" t="s">
        <v>3264</v>
      </c>
      <c r="R829" s="1" t="s">
        <v>4468</v>
      </c>
      <c r="S829" s="1" t="s">
        <v>4937</v>
      </c>
      <c r="T829" s="6">
        <v>44593</v>
      </c>
      <c r="U829" s="6">
        <v>44597</v>
      </c>
      <c r="V829" s="7">
        <v>0.48489583333333336</v>
      </c>
      <c r="W829" s="6">
        <v>44602</v>
      </c>
      <c r="X829" s="7">
        <v>0.48489583333333336</v>
      </c>
      <c r="Y829" s="1" t="s">
        <v>4860</v>
      </c>
      <c r="Z829" s="5">
        <v>340</v>
      </c>
      <c r="AA829" s="1" t="s">
        <v>3403</v>
      </c>
      <c r="AB829" s="1"/>
      <c r="AC829" s="1"/>
      <c r="AD829" s="1"/>
      <c r="AE829" s="1" t="s">
        <v>3768</v>
      </c>
      <c r="AF829" s="1" t="s">
        <v>9</v>
      </c>
      <c r="AG829" s="4">
        <v>1</v>
      </c>
      <c r="AH829" s="6">
        <v>44562</v>
      </c>
      <c r="AI829" s="6">
        <v>44926</v>
      </c>
    </row>
    <row r="830" spans="1:35" x14ac:dyDescent="0.3">
      <c r="A830" s="1" t="s">
        <v>1310</v>
      </c>
      <c r="B830" s="2" t="str">
        <f>HYPERLINK("https://my.zakupki.prom.ua/remote/dispatcher/state_purchase_view/34682857")</f>
        <v>https://my.zakupki.prom.ua/remote/dispatcher/state_purchase_view/34682857</v>
      </c>
      <c r="C830" s="1" t="s">
        <v>3222</v>
      </c>
      <c r="D830" s="1" t="s">
        <v>1117</v>
      </c>
      <c r="E830" s="1" t="s">
        <v>4903</v>
      </c>
      <c r="F830" s="1" t="s">
        <v>4903</v>
      </c>
      <c r="G830" s="1" t="s">
        <v>4903</v>
      </c>
      <c r="H830" s="1" t="s">
        <v>634</v>
      </c>
      <c r="I830" s="1" t="s">
        <v>4870</v>
      </c>
      <c r="J830" s="5">
        <v>199742</v>
      </c>
      <c r="K830" s="1" t="s">
        <v>3394</v>
      </c>
      <c r="L830" s="5">
        <v>2000</v>
      </c>
      <c r="M830" s="1" t="s">
        <v>2308</v>
      </c>
      <c r="N830" s="1" t="s">
        <v>3983</v>
      </c>
      <c r="O830" s="1" t="s">
        <v>2521</v>
      </c>
      <c r="P830" s="1" t="s">
        <v>3956</v>
      </c>
      <c r="Q830" s="1" t="s">
        <v>4805</v>
      </c>
      <c r="R830" s="1" t="s">
        <v>4263</v>
      </c>
      <c r="S830" s="1" t="s">
        <v>4937</v>
      </c>
      <c r="T830" s="6">
        <v>44593</v>
      </c>
      <c r="U830" s="6">
        <v>44599</v>
      </c>
      <c r="V830" s="7">
        <v>0.47399305555555554</v>
      </c>
      <c r="W830" s="6">
        <v>44602</v>
      </c>
      <c r="X830" s="7">
        <v>0.47399305555555554</v>
      </c>
      <c r="Y830" s="1" t="s">
        <v>4860</v>
      </c>
      <c r="Z830" s="5">
        <v>340</v>
      </c>
      <c r="AA830" s="1" t="s">
        <v>3403</v>
      </c>
      <c r="AB830" s="1"/>
      <c r="AC830" s="1"/>
      <c r="AD830" s="1"/>
      <c r="AE830" s="1" t="s">
        <v>3782</v>
      </c>
      <c r="AF830" s="1" t="s">
        <v>9</v>
      </c>
      <c r="AG830" s="4">
        <v>5</v>
      </c>
      <c r="AH830" s="1"/>
      <c r="AI830" s="6">
        <v>44651</v>
      </c>
    </row>
    <row r="831" spans="1:35" x14ac:dyDescent="0.3">
      <c r="A831" s="1" t="s">
        <v>1930</v>
      </c>
      <c r="B831" s="2" t="str">
        <f>HYPERLINK("https://my.zakupki.prom.ua/remote/dispatcher/state_purchase_view/34682826")</f>
        <v>https://my.zakupki.prom.ua/remote/dispatcher/state_purchase_view/34682826</v>
      </c>
      <c r="C831" s="1" t="s">
        <v>3958</v>
      </c>
      <c r="D831" s="1" t="s">
        <v>808</v>
      </c>
      <c r="E831" s="4">
        <v>1200</v>
      </c>
      <c r="F831" s="5">
        <v>10.17</v>
      </c>
      <c r="G831" s="1" t="s">
        <v>4991</v>
      </c>
      <c r="H831" s="1" t="s">
        <v>537</v>
      </c>
      <c r="I831" s="1" t="s">
        <v>2853</v>
      </c>
      <c r="J831" s="5">
        <v>12200</v>
      </c>
      <c r="K831" s="1" t="s">
        <v>3394</v>
      </c>
      <c r="L831" s="5">
        <v>122</v>
      </c>
      <c r="M831" s="1" t="s">
        <v>2308</v>
      </c>
      <c r="N831" s="1" t="s">
        <v>3983</v>
      </c>
      <c r="O831" s="1" t="s">
        <v>2521</v>
      </c>
      <c r="P831" s="1" t="s">
        <v>3956</v>
      </c>
      <c r="Q831" s="1" t="s">
        <v>2756</v>
      </c>
      <c r="R831" s="1" t="s">
        <v>4134</v>
      </c>
      <c r="S831" s="1" t="s">
        <v>4937</v>
      </c>
      <c r="T831" s="6">
        <v>44593</v>
      </c>
      <c r="U831" s="6">
        <v>44599</v>
      </c>
      <c r="V831" s="7">
        <v>0.48541666666666666</v>
      </c>
      <c r="W831" s="6">
        <v>44606</v>
      </c>
      <c r="X831" s="7">
        <v>0.48541666666666666</v>
      </c>
      <c r="Y831" s="1" t="s">
        <v>4860</v>
      </c>
      <c r="Z831" s="5">
        <v>17</v>
      </c>
      <c r="AA831" s="1" t="s">
        <v>3403</v>
      </c>
      <c r="AB831" s="1"/>
      <c r="AC831" s="1"/>
      <c r="AD831" s="1"/>
      <c r="AE831" s="1" t="s">
        <v>3788</v>
      </c>
      <c r="AF831" s="1" t="s">
        <v>9</v>
      </c>
      <c r="AG831" s="4">
        <v>6</v>
      </c>
      <c r="AH831" s="6">
        <v>44615</v>
      </c>
      <c r="AI831" s="6">
        <v>44630</v>
      </c>
    </row>
    <row r="832" spans="1:35" x14ac:dyDescent="0.3">
      <c r="A832" s="1" t="s">
        <v>1928</v>
      </c>
      <c r="B832" s="2" t="str">
        <f>HYPERLINK("https://my.zakupki.prom.ua/remote/dispatcher/state_purchase_view/34682754")</f>
        <v>https://my.zakupki.prom.ua/remote/dispatcher/state_purchase_view/34682754</v>
      </c>
      <c r="C832" s="1" t="s">
        <v>2614</v>
      </c>
      <c r="D832" s="1" t="s">
        <v>387</v>
      </c>
      <c r="E832" s="1" t="s">
        <v>4903</v>
      </c>
      <c r="F832" s="1" t="s">
        <v>4903</v>
      </c>
      <c r="G832" s="1" t="s">
        <v>4903</v>
      </c>
      <c r="H832" s="1" t="s">
        <v>929</v>
      </c>
      <c r="I832" s="1" t="s">
        <v>2700</v>
      </c>
      <c r="J832" s="5">
        <v>58800</v>
      </c>
      <c r="K832" s="1" t="s">
        <v>3394</v>
      </c>
      <c r="L832" s="5">
        <v>294</v>
      </c>
      <c r="M832" s="1" t="s">
        <v>2308</v>
      </c>
      <c r="N832" s="1" t="s">
        <v>3403</v>
      </c>
      <c r="O832" s="1" t="s">
        <v>2521</v>
      </c>
      <c r="P832" s="1" t="s">
        <v>3956</v>
      </c>
      <c r="Q832" s="1" t="s">
        <v>3504</v>
      </c>
      <c r="R832" s="1" t="s">
        <v>4677</v>
      </c>
      <c r="S832" s="1" t="s">
        <v>4937</v>
      </c>
      <c r="T832" s="6">
        <v>44593</v>
      </c>
      <c r="U832" s="6">
        <v>44599</v>
      </c>
      <c r="V832" s="7">
        <v>4.1666666666666664E-2</v>
      </c>
      <c r="W832" s="6">
        <v>44602</v>
      </c>
      <c r="X832" s="7">
        <v>0</v>
      </c>
      <c r="Y832" s="1" t="s">
        <v>4860</v>
      </c>
      <c r="Z832" s="5">
        <v>340</v>
      </c>
      <c r="AA832" s="1" t="s">
        <v>3403</v>
      </c>
      <c r="AB832" s="1"/>
      <c r="AC832" s="1"/>
      <c r="AD832" s="1"/>
      <c r="AE832" s="1" t="s">
        <v>3768</v>
      </c>
      <c r="AF832" s="1" t="s">
        <v>9</v>
      </c>
      <c r="AG832" s="1" t="s">
        <v>9</v>
      </c>
      <c r="AH832" s="6">
        <v>44593</v>
      </c>
      <c r="AI832" s="6">
        <v>44926</v>
      </c>
    </row>
    <row r="833" spans="1:35" x14ac:dyDescent="0.3">
      <c r="A833" s="1" t="s">
        <v>1927</v>
      </c>
      <c r="B833" s="2" t="str">
        <f>HYPERLINK("https://my.zakupki.prom.ua/remote/dispatcher/state_purchase_view/34682655")</f>
        <v>https://my.zakupki.prom.ua/remote/dispatcher/state_purchase_view/34682655</v>
      </c>
      <c r="C833" s="1" t="s">
        <v>2830</v>
      </c>
      <c r="D833" s="1" t="s">
        <v>208</v>
      </c>
      <c r="E833" s="4">
        <v>6000</v>
      </c>
      <c r="F833" s="5">
        <v>12</v>
      </c>
      <c r="G833" s="1" t="s">
        <v>4901</v>
      </c>
      <c r="H833" s="1" t="s">
        <v>706</v>
      </c>
      <c r="I833" s="1" t="s">
        <v>2694</v>
      </c>
      <c r="J833" s="5">
        <v>72000</v>
      </c>
      <c r="K833" s="1" t="s">
        <v>3394</v>
      </c>
      <c r="L833" s="5">
        <v>360</v>
      </c>
      <c r="M833" s="1" t="s">
        <v>2308</v>
      </c>
      <c r="N833" s="1" t="s">
        <v>3983</v>
      </c>
      <c r="O833" s="1" t="s">
        <v>2521</v>
      </c>
      <c r="P833" s="1" t="s">
        <v>3956</v>
      </c>
      <c r="Q833" s="1" t="s">
        <v>3238</v>
      </c>
      <c r="R833" s="1" t="s">
        <v>4674</v>
      </c>
      <c r="S833" s="1" t="s">
        <v>4937</v>
      </c>
      <c r="T833" s="6">
        <v>44593</v>
      </c>
      <c r="U833" s="6">
        <v>44599</v>
      </c>
      <c r="V833" s="7">
        <v>0</v>
      </c>
      <c r="W833" s="6">
        <v>44603</v>
      </c>
      <c r="X833" s="7">
        <v>0</v>
      </c>
      <c r="Y833" s="1" t="s">
        <v>4860</v>
      </c>
      <c r="Z833" s="5">
        <v>340</v>
      </c>
      <c r="AA833" s="1" t="s">
        <v>3403</v>
      </c>
      <c r="AB833" s="1"/>
      <c r="AC833" s="1"/>
      <c r="AD833" s="1"/>
      <c r="AE833" s="1" t="s">
        <v>3788</v>
      </c>
      <c r="AF833" s="1" t="s">
        <v>9</v>
      </c>
      <c r="AG833" s="1" t="s">
        <v>9</v>
      </c>
      <c r="AH833" s="1"/>
      <c r="AI833" s="6">
        <v>44926</v>
      </c>
    </row>
    <row r="834" spans="1:35" x14ac:dyDescent="0.3">
      <c r="A834" s="1" t="s">
        <v>1926</v>
      </c>
      <c r="B834" s="2" t="str">
        <f>HYPERLINK("https://my.zakupki.prom.ua/remote/dispatcher/state_purchase_view/34682643")</f>
        <v>https://my.zakupki.prom.ua/remote/dispatcher/state_purchase_view/34682643</v>
      </c>
      <c r="C834" s="1" t="s">
        <v>3637</v>
      </c>
      <c r="D834" s="1" t="s">
        <v>1173</v>
      </c>
      <c r="E834" s="4">
        <v>3</v>
      </c>
      <c r="F834" s="5">
        <v>25533.33</v>
      </c>
      <c r="G834" s="1" t="s">
        <v>4940</v>
      </c>
      <c r="H834" s="1" t="s">
        <v>102</v>
      </c>
      <c r="I834" s="1" t="s">
        <v>2868</v>
      </c>
      <c r="J834" s="5">
        <v>76600</v>
      </c>
      <c r="K834" s="1" t="s">
        <v>3394</v>
      </c>
      <c r="L834" s="5">
        <v>383</v>
      </c>
      <c r="M834" s="1" t="s">
        <v>2308</v>
      </c>
      <c r="N834" s="1" t="s">
        <v>3983</v>
      </c>
      <c r="O834" s="1" t="s">
        <v>2521</v>
      </c>
      <c r="P834" s="1" t="s">
        <v>3956</v>
      </c>
      <c r="Q834" s="1" t="s">
        <v>3992</v>
      </c>
      <c r="R834" s="1" t="s">
        <v>4523</v>
      </c>
      <c r="S834" s="1" t="s">
        <v>4937</v>
      </c>
      <c r="T834" s="6">
        <v>44593</v>
      </c>
      <c r="U834" s="6">
        <v>44600</v>
      </c>
      <c r="V834" s="7">
        <v>0</v>
      </c>
      <c r="W834" s="6">
        <v>44603</v>
      </c>
      <c r="X834" s="7">
        <v>0.75</v>
      </c>
      <c r="Y834" s="1" t="s">
        <v>4860</v>
      </c>
      <c r="Z834" s="5">
        <v>340</v>
      </c>
      <c r="AA834" s="1" t="s">
        <v>3403</v>
      </c>
      <c r="AB834" s="1"/>
      <c r="AC834" s="1"/>
      <c r="AD834" s="1"/>
      <c r="AE834" s="1" t="s">
        <v>3727</v>
      </c>
      <c r="AF834" s="1" t="s">
        <v>9</v>
      </c>
      <c r="AG834" s="1" t="s">
        <v>9</v>
      </c>
      <c r="AH834" s="1"/>
      <c r="AI834" s="6">
        <v>44926</v>
      </c>
    </row>
    <row r="835" spans="1:35" x14ac:dyDescent="0.3">
      <c r="A835" s="1" t="s">
        <v>1922</v>
      </c>
      <c r="B835" s="2" t="str">
        <f>HYPERLINK("https://my.zakupki.prom.ua/remote/dispatcher/state_purchase_view/34682440")</f>
        <v>https://my.zakupki.prom.ua/remote/dispatcher/state_purchase_view/34682440</v>
      </c>
      <c r="C835" s="1" t="s">
        <v>2491</v>
      </c>
      <c r="D835" s="1" t="s">
        <v>525</v>
      </c>
      <c r="E835" s="4">
        <v>60</v>
      </c>
      <c r="F835" s="5">
        <v>108.33</v>
      </c>
      <c r="G835" s="1" t="s">
        <v>4920</v>
      </c>
      <c r="H835" s="1" t="s">
        <v>238</v>
      </c>
      <c r="I835" s="1" t="s">
        <v>2981</v>
      </c>
      <c r="J835" s="5">
        <v>6500</v>
      </c>
      <c r="K835" s="1" t="s">
        <v>3394</v>
      </c>
      <c r="L835" s="5">
        <v>65</v>
      </c>
      <c r="M835" s="1" t="s">
        <v>2308</v>
      </c>
      <c r="N835" s="1" t="s">
        <v>3983</v>
      </c>
      <c r="O835" s="1" t="s">
        <v>2521</v>
      </c>
      <c r="P835" s="1" t="s">
        <v>3956</v>
      </c>
      <c r="Q835" s="1" t="s">
        <v>4834</v>
      </c>
      <c r="R835" s="1" t="s">
        <v>4450</v>
      </c>
      <c r="S835" s="1" t="s">
        <v>4937</v>
      </c>
      <c r="T835" s="6">
        <v>44593</v>
      </c>
      <c r="U835" s="6">
        <v>44599</v>
      </c>
      <c r="V835" s="7">
        <v>0.95833333333333337</v>
      </c>
      <c r="W835" s="6">
        <v>44603</v>
      </c>
      <c r="X835" s="7">
        <v>0.33333333333333331</v>
      </c>
      <c r="Y835" s="1" t="s">
        <v>4860</v>
      </c>
      <c r="Z835" s="5">
        <v>17</v>
      </c>
      <c r="AA835" s="1" t="s">
        <v>3403</v>
      </c>
      <c r="AB835" s="1"/>
      <c r="AC835" s="1"/>
      <c r="AD835" s="1"/>
      <c r="AE835" s="1" t="s">
        <v>3808</v>
      </c>
      <c r="AF835" s="1" t="s">
        <v>9</v>
      </c>
      <c r="AG835" s="4">
        <v>11</v>
      </c>
      <c r="AH835" s="1"/>
      <c r="AI835" s="6">
        <v>44926</v>
      </c>
    </row>
    <row r="836" spans="1:35" x14ac:dyDescent="0.3">
      <c r="A836" s="1" t="s">
        <v>1921</v>
      </c>
      <c r="B836" s="2" t="str">
        <f>HYPERLINK("https://my.zakupki.prom.ua/remote/dispatcher/state_purchase_view/34682436")</f>
        <v>https://my.zakupki.prom.ua/remote/dispatcher/state_purchase_view/34682436</v>
      </c>
      <c r="C836" s="1" t="s">
        <v>4792</v>
      </c>
      <c r="D836" s="1" t="s">
        <v>764</v>
      </c>
      <c r="E836" s="1" t="s">
        <v>4903</v>
      </c>
      <c r="F836" s="1" t="s">
        <v>4903</v>
      </c>
      <c r="G836" s="1" t="s">
        <v>4903</v>
      </c>
      <c r="H836" s="1" t="s">
        <v>96</v>
      </c>
      <c r="I836" s="1" t="s">
        <v>3095</v>
      </c>
      <c r="J836" s="5">
        <v>156000</v>
      </c>
      <c r="K836" s="1" t="s">
        <v>3394</v>
      </c>
      <c r="L836" s="5">
        <v>780</v>
      </c>
      <c r="M836" s="1" t="s">
        <v>2308</v>
      </c>
      <c r="N836" s="1" t="s">
        <v>3983</v>
      </c>
      <c r="O836" s="1" t="s">
        <v>2521</v>
      </c>
      <c r="P836" s="1" t="s">
        <v>3956</v>
      </c>
      <c r="Q836" s="1" t="s">
        <v>3426</v>
      </c>
      <c r="R836" s="1" t="s">
        <v>4247</v>
      </c>
      <c r="S836" s="1" t="s">
        <v>4937</v>
      </c>
      <c r="T836" s="6">
        <v>44593</v>
      </c>
      <c r="U836" s="6">
        <v>44599</v>
      </c>
      <c r="V836" s="7">
        <v>0</v>
      </c>
      <c r="W836" s="6">
        <v>44602</v>
      </c>
      <c r="X836" s="7">
        <v>0</v>
      </c>
      <c r="Y836" s="1" t="s">
        <v>4860</v>
      </c>
      <c r="Z836" s="5">
        <v>340</v>
      </c>
      <c r="AA836" s="1" t="s">
        <v>3403</v>
      </c>
      <c r="AB836" s="1"/>
      <c r="AC836" s="1"/>
      <c r="AD836" s="1"/>
      <c r="AE836" s="1" t="s">
        <v>3802</v>
      </c>
      <c r="AF836" s="1" t="s">
        <v>9</v>
      </c>
      <c r="AG836" s="4">
        <v>4</v>
      </c>
      <c r="AH836" s="6">
        <v>44621</v>
      </c>
      <c r="AI836" s="6">
        <v>44926</v>
      </c>
    </row>
    <row r="837" spans="1:35" x14ac:dyDescent="0.3">
      <c r="A837" s="1" t="s">
        <v>1918</v>
      </c>
      <c r="B837" s="2" t="str">
        <f>HYPERLINK("https://my.zakupki.prom.ua/remote/dispatcher/state_purchase_view/34682423")</f>
        <v>https://my.zakupki.prom.ua/remote/dispatcher/state_purchase_view/34682423</v>
      </c>
      <c r="C837" s="1" t="s">
        <v>4778</v>
      </c>
      <c r="D837" s="1" t="s">
        <v>460</v>
      </c>
      <c r="E837" s="1" t="s">
        <v>4903</v>
      </c>
      <c r="F837" s="1" t="s">
        <v>4903</v>
      </c>
      <c r="G837" s="1" t="s">
        <v>4903</v>
      </c>
      <c r="H837" s="1" t="s">
        <v>281</v>
      </c>
      <c r="I837" s="1" t="s">
        <v>3397</v>
      </c>
      <c r="J837" s="5">
        <v>104044.44</v>
      </c>
      <c r="K837" s="1" t="s">
        <v>3394</v>
      </c>
      <c r="L837" s="5">
        <v>520.22</v>
      </c>
      <c r="M837" s="1" t="s">
        <v>2308</v>
      </c>
      <c r="N837" s="1" t="s">
        <v>3983</v>
      </c>
      <c r="O837" s="1" t="s">
        <v>2521</v>
      </c>
      <c r="P837" s="1" t="s">
        <v>3956</v>
      </c>
      <c r="Q837" s="1" t="s">
        <v>3238</v>
      </c>
      <c r="R837" s="1" t="s">
        <v>4700</v>
      </c>
      <c r="S837" s="1" t="s">
        <v>4937</v>
      </c>
      <c r="T837" s="6">
        <v>44593</v>
      </c>
      <c r="U837" s="6">
        <v>44599</v>
      </c>
      <c r="V837" s="7">
        <v>0.375</v>
      </c>
      <c r="W837" s="6">
        <v>44602</v>
      </c>
      <c r="X837" s="7">
        <v>0.375</v>
      </c>
      <c r="Y837" s="1" t="s">
        <v>4860</v>
      </c>
      <c r="Z837" s="5">
        <v>340</v>
      </c>
      <c r="AA837" s="1" t="s">
        <v>3403</v>
      </c>
      <c r="AB837" s="1"/>
      <c r="AC837" s="1"/>
      <c r="AD837" s="1"/>
      <c r="AE837" s="1" t="s">
        <v>3767</v>
      </c>
      <c r="AF837" s="1" t="s">
        <v>9</v>
      </c>
      <c r="AG837" s="4">
        <v>10</v>
      </c>
      <c r="AH837" s="1"/>
      <c r="AI837" s="6">
        <v>44926</v>
      </c>
    </row>
    <row r="838" spans="1:35" x14ac:dyDescent="0.3">
      <c r="A838" s="1" t="s">
        <v>1917</v>
      </c>
      <c r="B838" s="2" t="str">
        <f>HYPERLINK("https://my.zakupki.prom.ua/remote/dispatcher/state_purchase_view/34682420")</f>
        <v>https://my.zakupki.prom.ua/remote/dispatcher/state_purchase_view/34682420</v>
      </c>
      <c r="C838" s="1" t="s">
        <v>3058</v>
      </c>
      <c r="D838" s="1" t="s">
        <v>1177</v>
      </c>
      <c r="E838" s="4">
        <v>1</v>
      </c>
      <c r="F838" s="5">
        <v>16500</v>
      </c>
      <c r="G838" s="1" t="s">
        <v>4940</v>
      </c>
      <c r="H838" s="1" t="s">
        <v>873</v>
      </c>
      <c r="I838" s="1" t="s">
        <v>3195</v>
      </c>
      <c r="J838" s="5">
        <v>16500</v>
      </c>
      <c r="K838" s="1" t="s">
        <v>3394</v>
      </c>
      <c r="L838" s="5">
        <v>165</v>
      </c>
      <c r="M838" s="1" t="s">
        <v>2308</v>
      </c>
      <c r="N838" s="1" t="s">
        <v>3983</v>
      </c>
      <c r="O838" s="1" t="s">
        <v>2521</v>
      </c>
      <c r="P838" s="1" t="s">
        <v>3956</v>
      </c>
      <c r="Q838" s="1" t="s">
        <v>2756</v>
      </c>
      <c r="R838" s="1" t="s">
        <v>4459</v>
      </c>
      <c r="S838" s="1" t="s">
        <v>4937</v>
      </c>
      <c r="T838" s="6">
        <v>44593</v>
      </c>
      <c r="U838" s="6">
        <v>44599</v>
      </c>
      <c r="V838" s="7">
        <v>0</v>
      </c>
      <c r="W838" s="6">
        <v>44602</v>
      </c>
      <c r="X838" s="7">
        <v>0</v>
      </c>
      <c r="Y838" s="1" t="s">
        <v>4860</v>
      </c>
      <c r="Z838" s="5">
        <v>17</v>
      </c>
      <c r="AA838" s="1" t="s">
        <v>3403</v>
      </c>
      <c r="AB838" s="1"/>
      <c r="AC838" s="1"/>
      <c r="AD838" s="1"/>
      <c r="AE838" s="1" t="s">
        <v>3741</v>
      </c>
      <c r="AF838" s="1" t="s">
        <v>9</v>
      </c>
      <c r="AG838" s="4">
        <v>5</v>
      </c>
      <c r="AH838" s="1"/>
      <c r="AI838" s="6">
        <v>44926</v>
      </c>
    </row>
    <row r="839" spans="1:35" x14ac:dyDescent="0.3">
      <c r="A839" s="1" t="s">
        <v>1911</v>
      </c>
      <c r="B839" s="2" t="str">
        <f>HYPERLINK("https://my.zakupki.prom.ua/remote/dispatcher/state_purchase_view/34659478")</f>
        <v>https://my.zakupki.prom.ua/remote/dispatcher/state_purchase_view/34659478</v>
      </c>
      <c r="C839" s="1" t="s">
        <v>3286</v>
      </c>
      <c r="D839" s="1" t="s">
        <v>441</v>
      </c>
      <c r="E839" s="4">
        <v>520</v>
      </c>
      <c r="F839" s="5">
        <v>144.22999999999999</v>
      </c>
      <c r="G839" s="1" t="s">
        <v>4901</v>
      </c>
      <c r="H839" s="1" t="s">
        <v>867</v>
      </c>
      <c r="I839" s="1" t="s">
        <v>3462</v>
      </c>
      <c r="J839" s="5">
        <v>75000</v>
      </c>
      <c r="K839" s="1" t="s">
        <v>3394</v>
      </c>
      <c r="L839" s="5">
        <v>375</v>
      </c>
      <c r="M839" s="1" t="s">
        <v>2308</v>
      </c>
      <c r="N839" s="1" t="s">
        <v>3983</v>
      </c>
      <c r="O839" s="1" t="s">
        <v>2521</v>
      </c>
      <c r="P839" s="1" t="s">
        <v>3956</v>
      </c>
      <c r="Q839" s="1" t="s">
        <v>2334</v>
      </c>
      <c r="R839" s="1" t="s">
        <v>4116</v>
      </c>
      <c r="S839" s="1" t="s">
        <v>4937</v>
      </c>
      <c r="T839" s="6">
        <v>44593</v>
      </c>
      <c r="U839" s="6">
        <v>44599</v>
      </c>
      <c r="V839" s="7">
        <v>0.48333333333333334</v>
      </c>
      <c r="W839" s="6">
        <v>44602</v>
      </c>
      <c r="X839" s="7">
        <v>0.48333333333333334</v>
      </c>
      <c r="Y839" s="1" t="s">
        <v>4860</v>
      </c>
      <c r="Z839" s="5">
        <v>340</v>
      </c>
      <c r="AA839" s="1" t="s">
        <v>3403</v>
      </c>
      <c r="AB839" s="1"/>
      <c r="AC839" s="1"/>
      <c r="AD839" s="1"/>
      <c r="AE839" s="1" t="s">
        <v>3789</v>
      </c>
      <c r="AF839" s="1" t="s">
        <v>9</v>
      </c>
      <c r="AG839" s="1" t="s">
        <v>9</v>
      </c>
      <c r="AH839" s="1"/>
      <c r="AI839" s="6">
        <v>44926</v>
      </c>
    </row>
    <row r="840" spans="1:35" x14ac:dyDescent="0.3">
      <c r="A840" s="1" t="s">
        <v>1909</v>
      </c>
      <c r="B840" s="2" t="str">
        <f>HYPERLINK("https://my.zakupki.prom.ua/remote/dispatcher/state_purchase_view/34682376")</f>
        <v>https://my.zakupki.prom.ua/remote/dispatcher/state_purchase_view/34682376</v>
      </c>
      <c r="C840" s="1" t="s">
        <v>3683</v>
      </c>
      <c r="D840" s="1" t="s">
        <v>372</v>
      </c>
      <c r="E840" s="4">
        <v>1200</v>
      </c>
      <c r="F840" s="5">
        <v>19</v>
      </c>
      <c r="G840" s="1" t="s">
        <v>4908</v>
      </c>
      <c r="H840" s="1" t="s">
        <v>927</v>
      </c>
      <c r="I840" s="1" t="s">
        <v>2867</v>
      </c>
      <c r="J840" s="5">
        <v>22800</v>
      </c>
      <c r="K840" s="1" t="s">
        <v>3394</v>
      </c>
      <c r="L840" s="5">
        <v>456</v>
      </c>
      <c r="M840" s="1" t="s">
        <v>2308</v>
      </c>
      <c r="N840" s="1" t="s">
        <v>3983</v>
      </c>
      <c r="O840" s="1" t="s">
        <v>2521</v>
      </c>
      <c r="P840" s="1" t="s">
        <v>3956</v>
      </c>
      <c r="Q840" s="1" t="s">
        <v>4834</v>
      </c>
      <c r="R840" s="1" t="s">
        <v>4544</v>
      </c>
      <c r="S840" s="1" t="s">
        <v>4937</v>
      </c>
      <c r="T840" s="6">
        <v>44593</v>
      </c>
      <c r="U840" s="6">
        <v>44599</v>
      </c>
      <c r="V840" s="7">
        <v>0.75</v>
      </c>
      <c r="W840" s="6">
        <v>44602</v>
      </c>
      <c r="X840" s="7">
        <v>0.33333333333333331</v>
      </c>
      <c r="Y840" s="1" t="s">
        <v>4860</v>
      </c>
      <c r="Z840" s="5">
        <v>119</v>
      </c>
      <c r="AA840" s="1" t="s">
        <v>3403</v>
      </c>
      <c r="AB840" s="1"/>
      <c r="AC840" s="1"/>
      <c r="AD840" s="1"/>
      <c r="AE840" s="1" t="s">
        <v>3765</v>
      </c>
      <c r="AF840" s="1" t="s">
        <v>9</v>
      </c>
      <c r="AG840" s="1" t="s">
        <v>9</v>
      </c>
      <c r="AH840" s="1"/>
      <c r="AI840" s="6">
        <v>44651</v>
      </c>
    </row>
    <row r="841" spans="1:35" x14ac:dyDescent="0.3">
      <c r="A841" s="1" t="s">
        <v>1908</v>
      </c>
      <c r="B841" s="2" t="str">
        <f>HYPERLINK("https://my.zakupki.prom.ua/remote/dispatcher/state_purchase_view/34682364")</f>
        <v>https://my.zakupki.prom.ua/remote/dispatcher/state_purchase_view/34682364</v>
      </c>
      <c r="C841" s="1" t="s">
        <v>4767</v>
      </c>
      <c r="D841" s="1" t="s">
        <v>793</v>
      </c>
      <c r="E841" s="1" t="s">
        <v>4903</v>
      </c>
      <c r="F841" s="1" t="s">
        <v>4903</v>
      </c>
      <c r="G841" s="1" t="s">
        <v>4903</v>
      </c>
      <c r="H841" s="1" t="s">
        <v>65</v>
      </c>
      <c r="I841" s="1" t="s">
        <v>3102</v>
      </c>
      <c r="J841" s="5">
        <v>501030.37</v>
      </c>
      <c r="K841" s="1" t="s">
        <v>3394</v>
      </c>
      <c r="L841" s="5">
        <v>2505.15</v>
      </c>
      <c r="M841" s="1" t="s">
        <v>2308</v>
      </c>
      <c r="N841" s="1" t="s">
        <v>3983</v>
      </c>
      <c r="O841" s="1" t="s">
        <v>2521</v>
      </c>
      <c r="P841" s="1" t="s">
        <v>2515</v>
      </c>
      <c r="Q841" s="1" t="s">
        <v>2761</v>
      </c>
      <c r="R841" s="1" t="s">
        <v>4271</v>
      </c>
      <c r="S841" s="1" t="s">
        <v>4971</v>
      </c>
      <c r="T841" s="6">
        <v>44593</v>
      </c>
      <c r="U841" s="6">
        <v>44593</v>
      </c>
      <c r="V841" s="7">
        <v>0.4845550389814815</v>
      </c>
      <c r="W841" s="6">
        <v>44609</v>
      </c>
      <c r="X841" s="7">
        <v>0</v>
      </c>
      <c r="Y841" s="8">
        <v>44609.592847222222</v>
      </c>
      <c r="Z841" s="5">
        <v>510</v>
      </c>
      <c r="AA841" s="1" t="s">
        <v>3403</v>
      </c>
      <c r="AB841" s="1"/>
      <c r="AC841" s="1"/>
      <c r="AD841" s="1"/>
      <c r="AE841" s="1" t="s">
        <v>3767</v>
      </c>
      <c r="AF841" s="1" t="s">
        <v>9</v>
      </c>
      <c r="AG841" s="1" t="s">
        <v>9</v>
      </c>
      <c r="AH841" s="1"/>
      <c r="AI841" s="6">
        <v>44926</v>
      </c>
    </row>
    <row r="842" spans="1:35" x14ac:dyDescent="0.3">
      <c r="A842" s="1" t="s">
        <v>1907</v>
      </c>
      <c r="B842" s="2" t="str">
        <f>HYPERLINK("https://my.zakupki.prom.ua/remote/dispatcher/state_purchase_view/34682359")</f>
        <v>https://my.zakupki.prom.ua/remote/dispatcher/state_purchase_view/34682359</v>
      </c>
      <c r="C842" s="1" t="s">
        <v>4942</v>
      </c>
      <c r="D842" s="1" t="s">
        <v>1235</v>
      </c>
      <c r="E842" s="4">
        <v>1</v>
      </c>
      <c r="F842" s="5">
        <v>102000</v>
      </c>
      <c r="G842" s="1" t="s">
        <v>4940</v>
      </c>
      <c r="H842" s="1" t="s">
        <v>683</v>
      </c>
      <c r="I842" s="1" t="s">
        <v>3161</v>
      </c>
      <c r="J842" s="5">
        <v>102000</v>
      </c>
      <c r="K842" s="1" t="s">
        <v>3394</v>
      </c>
      <c r="L842" s="5">
        <v>510</v>
      </c>
      <c r="M842" s="1" t="s">
        <v>2308</v>
      </c>
      <c r="N842" s="1" t="s">
        <v>3983</v>
      </c>
      <c r="O842" s="1" t="s">
        <v>2521</v>
      </c>
      <c r="P842" s="1" t="s">
        <v>3956</v>
      </c>
      <c r="Q842" s="1" t="s">
        <v>3426</v>
      </c>
      <c r="R842" s="1" t="s">
        <v>4533</v>
      </c>
      <c r="S842" s="1" t="s">
        <v>4937</v>
      </c>
      <c r="T842" s="6">
        <v>44593</v>
      </c>
      <c r="U842" s="6">
        <v>44600</v>
      </c>
      <c r="V842" s="7">
        <v>0</v>
      </c>
      <c r="W842" s="6">
        <v>44603</v>
      </c>
      <c r="X842" s="7">
        <v>0</v>
      </c>
      <c r="Y842" s="1" t="s">
        <v>4860</v>
      </c>
      <c r="Z842" s="5">
        <v>340</v>
      </c>
      <c r="AA842" s="1" t="s">
        <v>3403</v>
      </c>
      <c r="AB842" s="1"/>
      <c r="AC842" s="1"/>
      <c r="AD842" s="1"/>
      <c r="AE842" s="1" t="s">
        <v>3727</v>
      </c>
      <c r="AF842" s="1" t="s">
        <v>9</v>
      </c>
      <c r="AG842" s="4">
        <v>2</v>
      </c>
      <c r="AH842" s="1"/>
      <c r="AI842" s="6">
        <v>44926</v>
      </c>
    </row>
    <row r="843" spans="1:35" x14ac:dyDescent="0.3">
      <c r="A843" s="1" t="s">
        <v>1905</v>
      </c>
      <c r="B843" s="2" t="str">
        <f>HYPERLINK("https://my.zakupki.prom.ua/remote/dispatcher/state_purchase_view/34682348")</f>
        <v>https://my.zakupki.prom.ua/remote/dispatcher/state_purchase_view/34682348</v>
      </c>
      <c r="C843" s="1" t="s">
        <v>3562</v>
      </c>
      <c r="D843" s="1" t="s">
        <v>1258</v>
      </c>
      <c r="E843" s="4">
        <v>600</v>
      </c>
      <c r="F843" s="5">
        <v>208.67</v>
      </c>
      <c r="G843" s="1" t="s">
        <v>4940</v>
      </c>
      <c r="H843" s="1" t="s">
        <v>243</v>
      </c>
      <c r="I843" s="1" t="s">
        <v>2970</v>
      </c>
      <c r="J843" s="5">
        <v>125200</v>
      </c>
      <c r="K843" s="1" t="s">
        <v>3394</v>
      </c>
      <c r="L843" s="5">
        <v>1252</v>
      </c>
      <c r="M843" s="1" t="s">
        <v>2308</v>
      </c>
      <c r="N843" s="1" t="s">
        <v>3983</v>
      </c>
      <c r="O843" s="1" t="s">
        <v>2521</v>
      </c>
      <c r="P843" s="1" t="s">
        <v>3956</v>
      </c>
      <c r="Q843" s="1" t="s">
        <v>2497</v>
      </c>
      <c r="R843" s="1" t="s">
        <v>4628</v>
      </c>
      <c r="S843" s="1" t="s">
        <v>4937</v>
      </c>
      <c r="T843" s="6">
        <v>44593</v>
      </c>
      <c r="U843" s="6">
        <v>44599</v>
      </c>
      <c r="V843" s="7">
        <v>0.70833333333333337</v>
      </c>
      <c r="W843" s="6">
        <v>44603</v>
      </c>
      <c r="X843" s="7">
        <v>0</v>
      </c>
      <c r="Y843" s="1" t="s">
        <v>4860</v>
      </c>
      <c r="Z843" s="5">
        <v>340</v>
      </c>
      <c r="AA843" s="1" t="s">
        <v>3403</v>
      </c>
      <c r="AB843" s="1"/>
      <c r="AC843" s="1"/>
      <c r="AD843" s="1"/>
      <c r="AE843" s="1" t="s">
        <v>3727</v>
      </c>
      <c r="AF843" s="1" t="s">
        <v>9</v>
      </c>
      <c r="AG843" s="4">
        <v>9</v>
      </c>
      <c r="AH843" s="1"/>
      <c r="AI843" s="6">
        <v>44926</v>
      </c>
    </row>
    <row r="844" spans="1:35" x14ac:dyDescent="0.3">
      <c r="A844" s="1" t="s">
        <v>1904</v>
      </c>
      <c r="B844" s="2" t="str">
        <f>HYPERLINK("https://my.zakupki.prom.ua/remote/dispatcher/state_purchase_lot_view/740447")</f>
        <v>https://my.zakupki.prom.ua/remote/dispatcher/state_purchase_lot_view/740447</v>
      </c>
      <c r="C844" s="1" t="s">
        <v>2684</v>
      </c>
      <c r="D844" s="1" t="s">
        <v>791</v>
      </c>
      <c r="E844" s="1" t="s">
        <v>4903</v>
      </c>
      <c r="F844" s="1" t="s">
        <v>4903</v>
      </c>
      <c r="G844" s="1" t="s">
        <v>4903</v>
      </c>
      <c r="H844" s="1" t="s">
        <v>186</v>
      </c>
      <c r="I844" s="1" t="s">
        <v>2957</v>
      </c>
      <c r="J844" s="5">
        <v>216000</v>
      </c>
      <c r="K844" s="5">
        <v>37800</v>
      </c>
      <c r="L844" s="5">
        <v>189</v>
      </c>
      <c r="M844" s="1" t="s">
        <v>2308</v>
      </c>
      <c r="N844" s="1" t="s">
        <v>3983</v>
      </c>
      <c r="O844" s="1" t="s">
        <v>2521</v>
      </c>
      <c r="P844" s="1" t="s">
        <v>2515</v>
      </c>
      <c r="Q844" s="1" t="s">
        <v>3878</v>
      </c>
      <c r="R844" s="1" t="s">
        <v>4229</v>
      </c>
      <c r="S844" s="1" t="s">
        <v>4971</v>
      </c>
      <c r="T844" s="6">
        <v>44593</v>
      </c>
      <c r="U844" s="6">
        <v>44593</v>
      </c>
      <c r="V844" s="7">
        <v>0.48403686906249999</v>
      </c>
      <c r="W844" s="6">
        <v>44609</v>
      </c>
      <c r="X844" s="7">
        <v>0.46805555555555556</v>
      </c>
      <c r="Y844" s="8">
        <v>44610.586539351854</v>
      </c>
      <c r="Z844" s="5">
        <v>119</v>
      </c>
      <c r="AA844" s="1" t="s">
        <v>3403</v>
      </c>
      <c r="AB844" s="1"/>
      <c r="AC844" s="1"/>
      <c r="AD844" s="1"/>
      <c r="AE844" s="1" t="s">
        <v>3765</v>
      </c>
      <c r="AF844" s="1" t="s">
        <v>9</v>
      </c>
      <c r="AG844" s="1" t="s">
        <v>9</v>
      </c>
      <c r="AH844" s="1"/>
      <c r="AI844" s="6">
        <v>44926</v>
      </c>
    </row>
    <row r="845" spans="1:35" x14ac:dyDescent="0.3">
      <c r="A845" s="1" t="s">
        <v>1904</v>
      </c>
      <c r="B845" s="2" t="str">
        <f>HYPERLINK("https://my.zakupki.prom.ua/remote/dispatcher/state_purchase_lot_view/740649")</f>
        <v>https://my.zakupki.prom.ua/remote/dispatcher/state_purchase_lot_view/740649</v>
      </c>
      <c r="C845" s="1" t="s">
        <v>2685</v>
      </c>
      <c r="D845" s="1" t="s">
        <v>792</v>
      </c>
      <c r="E845" s="1" t="s">
        <v>4903</v>
      </c>
      <c r="F845" s="1" t="s">
        <v>4903</v>
      </c>
      <c r="G845" s="1" t="s">
        <v>4903</v>
      </c>
      <c r="H845" s="1" t="s">
        <v>186</v>
      </c>
      <c r="I845" s="1" t="s">
        <v>2957</v>
      </c>
      <c r="J845" s="5">
        <v>216000</v>
      </c>
      <c r="K845" s="5">
        <v>29940</v>
      </c>
      <c r="L845" s="5">
        <v>149.69999999999999</v>
      </c>
      <c r="M845" s="1" t="s">
        <v>2308</v>
      </c>
      <c r="N845" s="1" t="s">
        <v>3983</v>
      </c>
      <c r="O845" s="1" t="s">
        <v>2521</v>
      </c>
      <c r="P845" s="1" t="s">
        <v>2515</v>
      </c>
      <c r="Q845" s="1" t="s">
        <v>3878</v>
      </c>
      <c r="R845" s="1" t="s">
        <v>4229</v>
      </c>
      <c r="S845" s="1" t="s">
        <v>4971</v>
      </c>
      <c r="T845" s="6">
        <v>44593</v>
      </c>
      <c r="U845" s="6">
        <v>44593</v>
      </c>
      <c r="V845" s="7">
        <v>0.48403686906249999</v>
      </c>
      <c r="W845" s="6">
        <v>44609</v>
      </c>
      <c r="X845" s="7">
        <v>0.46805555555555556</v>
      </c>
      <c r="Y845" s="8">
        <v>44610.621724537035</v>
      </c>
      <c r="Z845" s="5">
        <v>119</v>
      </c>
      <c r="AA845" s="1" t="s">
        <v>3403</v>
      </c>
      <c r="AB845" s="1"/>
      <c r="AC845" s="1"/>
      <c r="AD845" s="1"/>
      <c r="AE845" s="1" t="s">
        <v>3765</v>
      </c>
      <c r="AF845" s="1" t="s">
        <v>9</v>
      </c>
      <c r="AG845" s="1" t="s">
        <v>9</v>
      </c>
      <c r="AH845" s="1"/>
      <c r="AI845" s="6">
        <v>44926</v>
      </c>
    </row>
    <row r="846" spans="1:35" x14ac:dyDescent="0.3">
      <c r="A846" s="1" t="s">
        <v>1904</v>
      </c>
      <c r="B846" s="2" t="str">
        <f>HYPERLINK("https://my.zakupki.prom.ua/remote/dispatcher/state_purchase_lot_view/740650")</f>
        <v>https://my.zakupki.prom.ua/remote/dispatcher/state_purchase_lot_view/740650</v>
      </c>
      <c r="C846" s="1" t="s">
        <v>2686</v>
      </c>
      <c r="D846" s="1" t="s">
        <v>794</v>
      </c>
      <c r="E846" s="1" t="s">
        <v>4903</v>
      </c>
      <c r="F846" s="1" t="s">
        <v>4903</v>
      </c>
      <c r="G846" s="1" t="s">
        <v>4903</v>
      </c>
      <c r="H846" s="1" t="s">
        <v>186</v>
      </c>
      <c r="I846" s="1" t="s">
        <v>2957</v>
      </c>
      <c r="J846" s="5">
        <v>216000</v>
      </c>
      <c r="K846" s="5">
        <v>78730</v>
      </c>
      <c r="L846" s="5">
        <v>393.65</v>
      </c>
      <c r="M846" s="1" t="s">
        <v>2308</v>
      </c>
      <c r="N846" s="1" t="s">
        <v>3983</v>
      </c>
      <c r="O846" s="1" t="s">
        <v>2521</v>
      </c>
      <c r="P846" s="1" t="s">
        <v>2515</v>
      </c>
      <c r="Q846" s="1" t="s">
        <v>3878</v>
      </c>
      <c r="R846" s="1" t="s">
        <v>4229</v>
      </c>
      <c r="S846" s="1" t="s">
        <v>4971</v>
      </c>
      <c r="T846" s="6">
        <v>44593</v>
      </c>
      <c r="U846" s="6">
        <v>44593</v>
      </c>
      <c r="V846" s="7">
        <v>0.48403686906249999</v>
      </c>
      <c r="W846" s="6">
        <v>44609</v>
      </c>
      <c r="X846" s="7">
        <v>0.46805555555555556</v>
      </c>
      <c r="Y846" s="8">
        <v>44610.645694444444</v>
      </c>
      <c r="Z846" s="5">
        <v>340</v>
      </c>
      <c r="AA846" s="1" t="s">
        <v>3403</v>
      </c>
      <c r="AB846" s="1"/>
      <c r="AC846" s="1"/>
      <c r="AD846" s="1"/>
      <c r="AE846" s="1" t="s">
        <v>3765</v>
      </c>
      <c r="AF846" s="1" t="s">
        <v>9</v>
      </c>
      <c r="AG846" s="1" t="s">
        <v>9</v>
      </c>
      <c r="AH846" s="1"/>
      <c r="AI846" s="6">
        <v>44926</v>
      </c>
    </row>
    <row r="847" spans="1:35" x14ac:dyDescent="0.3">
      <c r="A847" s="1" t="s">
        <v>1904</v>
      </c>
      <c r="B847" s="2" t="str">
        <f>HYPERLINK("https://my.zakupki.prom.ua/remote/dispatcher/state_purchase_lot_view/740651")</f>
        <v>https://my.zakupki.prom.ua/remote/dispatcher/state_purchase_lot_view/740651</v>
      </c>
      <c r="C847" s="1" t="s">
        <v>2687</v>
      </c>
      <c r="D847" s="1" t="s">
        <v>798</v>
      </c>
      <c r="E847" s="1" t="s">
        <v>4903</v>
      </c>
      <c r="F847" s="1" t="s">
        <v>4903</v>
      </c>
      <c r="G847" s="1" t="s">
        <v>4903</v>
      </c>
      <c r="H847" s="1" t="s">
        <v>186</v>
      </c>
      <c r="I847" s="1" t="s">
        <v>2957</v>
      </c>
      <c r="J847" s="5">
        <v>216000</v>
      </c>
      <c r="K847" s="5">
        <v>65430</v>
      </c>
      <c r="L847" s="5">
        <v>327.14999999999998</v>
      </c>
      <c r="M847" s="1" t="s">
        <v>2308</v>
      </c>
      <c r="N847" s="1" t="s">
        <v>3983</v>
      </c>
      <c r="O847" s="1" t="s">
        <v>2521</v>
      </c>
      <c r="P847" s="1" t="s">
        <v>2515</v>
      </c>
      <c r="Q847" s="1" t="s">
        <v>3878</v>
      </c>
      <c r="R847" s="1" t="s">
        <v>4229</v>
      </c>
      <c r="S847" s="1" t="s">
        <v>4971</v>
      </c>
      <c r="T847" s="6">
        <v>44593</v>
      </c>
      <c r="U847" s="6">
        <v>44593</v>
      </c>
      <c r="V847" s="7">
        <v>0.48403686906249999</v>
      </c>
      <c r="W847" s="6">
        <v>44609</v>
      </c>
      <c r="X847" s="7">
        <v>0.46805555555555556</v>
      </c>
      <c r="Y847" s="8">
        <v>44610.650509259256</v>
      </c>
      <c r="Z847" s="5">
        <v>340</v>
      </c>
      <c r="AA847" s="1" t="s">
        <v>3403</v>
      </c>
      <c r="AB847" s="1"/>
      <c r="AC847" s="1"/>
      <c r="AD847" s="1"/>
      <c r="AE847" s="1" t="s">
        <v>3765</v>
      </c>
      <c r="AF847" s="1" t="s">
        <v>9</v>
      </c>
      <c r="AG847" s="1" t="s">
        <v>9</v>
      </c>
      <c r="AH847" s="1"/>
      <c r="AI847" s="6">
        <v>44926</v>
      </c>
    </row>
    <row r="848" spans="1:35" x14ac:dyDescent="0.3">
      <c r="A848" s="1" t="s">
        <v>1904</v>
      </c>
      <c r="B848" s="2" t="str">
        <f>HYPERLINK("https://my.zakupki.prom.ua/remote/dispatcher/state_purchase_lot_view/740652")</f>
        <v>https://my.zakupki.prom.ua/remote/dispatcher/state_purchase_lot_view/740652</v>
      </c>
      <c r="C848" s="1" t="s">
        <v>2688</v>
      </c>
      <c r="D848" s="1" t="s">
        <v>801</v>
      </c>
      <c r="E848" s="1" t="s">
        <v>4903</v>
      </c>
      <c r="F848" s="1" t="s">
        <v>4903</v>
      </c>
      <c r="G848" s="1" t="s">
        <v>4903</v>
      </c>
      <c r="H848" s="1" t="s">
        <v>186</v>
      </c>
      <c r="I848" s="1" t="s">
        <v>2957</v>
      </c>
      <c r="J848" s="5">
        <v>216000</v>
      </c>
      <c r="K848" s="5">
        <v>4100</v>
      </c>
      <c r="L848" s="5">
        <v>20.5</v>
      </c>
      <c r="M848" s="1" t="s">
        <v>2308</v>
      </c>
      <c r="N848" s="1" t="s">
        <v>3983</v>
      </c>
      <c r="O848" s="1" t="s">
        <v>2521</v>
      </c>
      <c r="P848" s="1" t="s">
        <v>2515</v>
      </c>
      <c r="Q848" s="1" t="s">
        <v>3878</v>
      </c>
      <c r="R848" s="1" t="s">
        <v>4229</v>
      </c>
      <c r="S848" s="1" t="s">
        <v>4971</v>
      </c>
      <c r="T848" s="6">
        <v>44593</v>
      </c>
      <c r="U848" s="6">
        <v>44593</v>
      </c>
      <c r="V848" s="7">
        <v>0.48403686906249999</v>
      </c>
      <c r="W848" s="6">
        <v>44609</v>
      </c>
      <c r="X848" s="7">
        <v>0.46805555555555556</v>
      </c>
      <c r="Y848" s="8">
        <v>44610.477754629632</v>
      </c>
      <c r="Z848" s="5">
        <v>17</v>
      </c>
      <c r="AA848" s="1" t="s">
        <v>3403</v>
      </c>
      <c r="AB848" s="1"/>
      <c r="AC848" s="1"/>
      <c r="AD848" s="1"/>
      <c r="AE848" s="1" t="s">
        <v>3765</v>
      </c>
      <c r="AF848" s="1" t="s">
        <v>9</v>
      </c>
      <c r="AG848" s="1" t="s">
        <v>9</v>
      </c>
      <c r="AH848" s="1"/>
      <c r="AI848" s="6">
        <v>44926</v>
      </c>
    </row>
    <row r="849" spans="1:35" x14ac:dyDescent="0.3">
      <c r="A849" s="1" t="s">
        <v>1558</v>
      </c>
      <c r="B849" s="2" t="str">
        <f>HYPERLINK("https://my.zakupki.prom.ua/remote/dispatcher/state_purchase_view/34682319")</f>
        <v>https://my.zakupki.prom.ua/remote/dispatcher/state_purchase_view/34682319</v>
      </c>
      <c r="C849" s="1" t="s">
        <v>2643</v>
      </c>
      <c r="D849" s="1" t="s">
        <v>580</v>
      </c>
      <c r="E849" s="1" t="s">
        <v>4903</v>
      </c>
      <c r="F849" s="1" t="s">
        <v>4903</v>
      </c>
      <c r="G849" s="1" t="s">
        <v>4903</v>
      </c>
      <c r="H849" s="1" t="s">
        <v>421</v>
      </c>
      <c r="I849" s="1" t="s">
        <v>2736</v>
      </c>
      <c r="J849" s="5">
        <v>145655</v>
      </c>
      <c r="K849" s="1" t="s">
        <v>3394</v>
      </c>
      <c r="L849" s="5">
        <v>728.28</v>
      </c>
      <c r="M849" s="1" t="s">
        <v>2308</v>
      </c>
      <c r="N849" s="1" t="s">
        <v>3403</v>
      </c>
      <c r="O849" s="1" t="s">
        <v>2521</v>
      </c>
      <c r="P849" s="1" t="s">
        <v>3956</v>
      </c>
      <c r="Q849" s="1" t="s">
        <v>3035</v>
      </c>
      <c r="R849" s="1" t="s">
        <v>4081</v>
      </c>
      <c r="S849" s="1" t="s">
        <v>4937</v>
      </c>
      <c r="T849" s="6">
        <v>44593</v>
      </c>
      <c r="U849" s="6">
        <v>44600</v>
      </c>
      <c r="V849" s="7">
        <v>0.375</v>
      </c>
      <c r="W849" s="6">
        <v>44603</v>
      </c>
      <c r="X849" s="7">
        <v>0.375</v>
      </c>
      <c r="Y849" s="1" t="s">
        <v>4860</v>
      </c>
      <c r="Z849" s="5">
        <v>340</v>
      </c>
      <c r="AA849" s="1" t="s">
        <v>3403</v>
      </c>
      <c r="AB849" s="1"/>
      <c r="AC849" s="1"/>
      <c r="AD849" s="1"/>
      <c r="AE849" s="1" t="s">
        <v>3782</v>
      </c>
      <c r="AF849" s="1" t="s">
        <v>9</v>
      </c>
      <c r="AG849" s="4">
        <v>56</v>
      </c>
      <c r="AH849" s="1"/>
      <c r="AI849" s="6">
        <v>44643</v>
      </c>
    </row>
    <row r="850" spans="1:35" x14ac:dyDescent="0.3">
      <c r="A850" s="1" t="s">
        <v>1541</v>
      </c>
      <c r="B850" s="2" t="str">
        <f>HYPERLINK("https://my.zakupki.prom.ua/remote/dispatcher/state_purchase_view/34682305")</f>
        <v>https://my.zakupki.prom.ua/remote/dispatcher/state_purchase_view/34682305</v>
      </c>
      <c r="C850" s="1" t="s">
        <v>3964</v>
      </c>
      <c r="D850" s="1" t="s">
        <v>1215</v>
      </c>
      <c r="E850" s="1" t="s">
        <v>4903</v>
      </c>
      <c r="F850" s="1" t="s">
        <v>4903</v>
      </c>
      <c r="G850" s="1" t="s">
        <v>4903</v>
      </c>
      <c r="H850" s="1" t="s">
        <v>235</v>
      </c>
      <c r="I850" s="1" t="s">
        <v>3265</v>
      </c>
      <c r="J850" s="5">
        <v>3089900</v>
      </c>
      <c r="K850" s="1" t="s">
        <v>3394</v>
      </c>
      <c r="L850" s="5">
        <v>30899</v>
      </c>
      <c r="M850" s="1" t="s">
        <v>2308</v>
      </c>
      <c r="N850" s="1" t="s">
        <v>3983</v>
      </c>
      <c r="O850" s="1" t="s">
        <v>2521</v>
      </c>
      <c r="P850" s="1" t="s">
        <v>2515</v>
      </c>
      <c r="Q850" s="1" t="s">
        <v>3264</v>
      </c>
      <c r="R850" s="1" t="s">
        <v>4081</v>
      </c>
      <c r="S850" s="1" t="s">
        <v>4971</v>
      </c>
      <c r="T850" s="6">
        <v>44593</v>
      </c>
      <c r="U850" s="6">
        <v>44593</v>
      </c>
      <c r="V850" s="7">
        <v>0.47870074965277776</v>
      </c>
      <c r="W850" s="6">
        <v>44609</v>
      </c>
      <c r="X850" s="7">
        <v>0.70833333333333337</v>
      </c>
      <c r="Y850" s="8">
        <v>44610.555520833332</v>
      </c>
      <c r="Z850" s="5">
        <v>1700</v>
      </c>
      <c r="AA850" s="1" t="s">
        <v>3403</v>
      </c>
      <c r="AB850" s="1"/>
      <c r="AC850" s="1"/>
      <c r="AD850" s="1"/>
      <c r="AE850" s="1" t="s">
        <v>2369</v>
      </c>
      <c r="AF850" s="1" t="s">
        <v>9</v>
      </c>
      <c r="AG850" s="4">
        <v>24</v>
      </c>
      <c r="AH850" s="1"/>
      <c r="AI850" s="6">
        <v>44926</v>
      </c>
    </row>
    <row r="851" spans="1:35" x14ac:dyDescent="0.3">
      <c r="A851" s="1" t="s">
        <v>1309</v>
      </c>
      <c r="B851" s="2" t="str">
        <f>HYPERLINK("https://my.zakupki.prom.ua/remote/dispatcher/state_purchase_view/34682239")</f>
        <v>https://my.zakupki.prom.ua/remote/dispatcher/state_purchase_view/34682239</v>
      </c>
      <c r="C851" s="1" t="s">
        <v>3421</v>
      </c>
      <c r="D851" s="1" t="s">
        <v>213</v>
      </c>
      <c r="E851" s="4">
        <v>6878</v>
      </c>
      <c r="F851" s="5">
        <v>16.03</v>
      </c>
      <c r="G851" s="1" t="s">
        <v>4883</v>
      </c>
      <c r="H851" s="1" t="s">
        <v>625</v>
      </c>
      <c r="I851" s="1" t="s">
        <v>3260</v>
      </c>
      <c r="J851" s="5">
        <v>110226</v>
      </c>
      <c r="K851" s="1" t="s">
        <v>3394</v>
      </c>
      <c r="L851" s="5">
        <v>551.13</v>
      </c>
      <c r="M851" s="1" t="s">
        <v>2308</v>
      </c>
      <c r="N851" s="1" t="s">
        <v>3983</v>
      </c>
      <c r="O851" s="1" t="s">
        <v>2521</v>
      </c>
      <c r="P851" s="1" t="s">
        <v>3956</v>
      </c>
      <c r="Q851" s="1" t="s">
        <v>3504</v>
      </c>
      <c r="R851" s="1" t="s">
        <v>4343</v>
      </c>
      <c r="S851" s="1" t="s">
        <v>4937</v>
      </c>
      <c r="T851" s="6">
        <v>44593</v>
      </c>
      <c r="U851" s="6">
        <v>44593</v>
      </c>
      <c r="V851" s="7">
        <v>0.87875000000000003</v>
      </c>
      <c r="W851" s="6">
        <v>44596</v>
      </c>
      <c r="X851" s="7">
        <v>0.87875000000000003</v>
      </c>
      <c r="Y851" s="1" t="s">
        <v>4860</v>
      </c>
      <c r="Z851" s="5">
        <v>340</v>
      </c>
      <c r="AA851" s="1" t="s">
        <v>3403</v>
      </c>
      <c r="AB851" s="1"/>
      <c r="AC851" s="1"/>
      <c r="AD851" s="1"/>
      <c r="AE851" s="1" t="s">
        <v>3776</v>
      </c>
      <c r="AF851" s="1" t="s">
        <v>9</v>
      </c>
      <c r="AG851" s="1" t="s">
        <v>9</v>
      </c>
      <c r="AH851" s="1"/>
      <c r="AI851" s="6">
        <v>44926</v>
      </c>
    </row>
    <row r="852" spans="1:35" x14ac:dyDescent="0.3">
      <c r="A852" s="1" t="s">
        <v>1542</v>
      </c>
      <c r="B852" s="2" t="str">
        <f>HYPERLINK("https://my.zakupki.prom.ua/remote/dispatcher/state_purchase_view/34682228")</f>
        <v>https://my.zakupki.prom.ua/remote/dispatcher/state_purchase_view/34682228</v>
      </c>
      <c r="C852" s="1" t="s">
        <v>3320</v>
      </c>
      <c r="D852" s="1" t="s">
        <v>764</v>
      </c>
      <c r="E852" s="1" t="s">
        <v>4903</v>
      </c>
      <c r="F852" s="1" t="s">
        <v>4903</v>
      </c>
      <c r="G852" s="1" t="s">
        <v>4903</v>
      </c>
      <c r="H852" s="1" t="s">
        <v>932</v>
      </c>
      <c r="I852" s="1" t="s">
        <v>3181</v>
      </c>
      <c r="J852" s="5">
        <v>115000</v>
      </c>
      <c r="K852" s="1" t="s">
        <v>3394</v>
      </c>
      <c r="L852" s="5">
        <v>575</v>
      </c>
      <c r="M852" s="1" t="s">
        <v>2308</v>
      </c>
      <c r="N852" s="1" t="s">
        <v>3983</v>
      </c>
      <c r="O852" s="1" t="s">
        <v>2521</v>
      </c>
      <c r="P852" s="1" t="s">
        <v>3956</v>
      </c>
      <c r="Q852" s="1" t="s">
        <v>3325</v>
      </c>
      <c r="R852" s="1" t="s">
        <v>4074</v>
      </c>
      <c r="S852" s="1" t="s">
        <v>4937</v>
      </c>
      <c r="T852" s="6">
        <v>44593</v>
      </c>
      <c r="U852" s="6">
        <v>44599</v>
      </c>
      <c r="V852" s="7">
        <v>0.66666666666666663</v>
      </c>
      <c r="W852" s="6">
        <v>44602</v>
      </c>
      <c r="X852" s="7">
        <v>0.66666666666666663</v>
      </c>
      <c r="Y852" s="1" t="s">
        <v>4860</v>
      </c>
      <c r="Z852" s="5">
        <v>340</v>
      </c>
      <c r="AA852" s="1" t="s">
        <v>3403</v>
      </c>
      <c r="AB852" s="1"/>
      <c r="AC852" s="1"/>
      <c r="AD852" s="1"/>
      <c r="AE852" s="1" t="s">
        <v>3768</v>
      </c>
      <c r="AF852" s="1" t="s">
        <v>9</v>
      </c>
      <c r="AG852" s="1" t="s">
        <v>9</v>
      </c>
      <c r="AH852" s="1"/>
      <c r="AI852" s="6">
        <v>44926</v>
      </c>
    </row>
    <row r="853" spans="1:35" x14ac:dyDescent="0.3">
      <c r="A853" s="1" t="s">
        <v>1882</v>
      </c>
      <c r="B853" s="2" t="str">
        <f>HYPERLINK("https://my.zakupki.prom.ua/remote/dispatcher/state_purchase_lot_view/740645")</f>
        <v>https://my.zakupki.prom.ua/remote/dispatcher/state_purchase_lot_view/740645</v>
      </c>
      <c r="C853" s="1" t="s">
        <v>2449</v>
      </c>
      <c r="D853" s="1" t="s">
        <v>1119</v>
      </c>
      <c r="E853" s="4">
        <v>7</v>
      </c>
      <c r="F853" s="5">
        <v>12000</v>
      </c>
      <c r="G853" s="1" t="s">
        <v>4989</v>
      </c>
      <c r="H853" s="1" t="s">
        <v>355</v>
      </c>
      <c r="I853" s="1" t="s">
        <v>2579</v>
      </c>
      <c r="J853" s="5">
        <v>126320</v>
      </c>
      <c r="K853" s="5">
        <v>84000</v>
      </c>
      <c r="L853" s="5">
        <v>420</v>
      </c>
      <c r="M853" s="1" t="s">
        <v>2308</v>
      </c>
      <c r="N853" s="1" t="s">
        <v>3403</v>
      </c>
      <c r="O853" s="1" t="s">
        <v>2521</v>
      </c>
      <c r="P853" s="1" t="s">
        <v>2762</v>
      </c>
      <c r="Q853" s="1" t="s">
        <v>2497</v>
      </c>
      <c r="R853" s="1" t="s">
        <v>4081</v>
      </c>
      <c r="S853" s="1" t="s">
        <v>4937</v>
      </c>
      <c r="T853" s="6">
        <v>44593</v>
      </c>
      <c r="U853" s="6">
        <v>44599</v>
      </c>
      <c r="V853" s="7">
        <v>0.41666666666666669</v>
      </c>
      <c r="W853" s="6">
        <v>44602</v>
      </c>
      <c r="X853" s="7">
        <v>0.70833333333333337</v>
      </c>
      <c r="Y853" s="1" t="s">
        <v>4860</v>
      </c>
      <c r="Z853" s="5">
        <v>340</v>
      </c>
      <c r="AA853" s="1" t="s">
        <v>3403</v>
      </c>
      <c r="AB853" s="1"/>
      <c r="AC853" s="1"/>
      <c r="AD853" s="1"/>
      <c r="AE853" s="1" t="s">
        <v>3811</v>
      </c>
      <c r="AF853" s="1" t="s">
        <v>9</v>
      </c>
      <c r="AG853" s="1" t="s">
        <v>9</v>
      </c>
      <c r="AH853" s="6">
        <v>44634</v>
      </c>
      <c r="AI853" s="6">
        <v>44648</v>
      </c>
    </row>
    <row r="854" spans="1:35" x14ac:dyDescent="0.3">
      <c r="A854" s="1" t="s">
        <v>1882</v>
      </c>
      <c r="B854" s="2" t="str">
        <f>HYPERLINK("https://my.zakupki.prom.ua/remote/dispatcher/state_purchase_lot_view/740646")</f>
        <v>https://my.zakupki.prom.ua/remote/dispatcher/state_purchase_lot_view/740646</v>
      </c>
      <c r="C854" s="1" t="s">
        <v>2450</v>
      </c>
      <c r="D854" s="1" t="s">
        <v>1119</v>
      </c>
      <c r="E854" s="4">
        <v>2</v>
      </c>
      <c r="F854" s="5">
        <v>19000</v>
      </c>
      <c r="G854" s="1" t="s">
        <v>4989</v>
      </c>
      <c r="H854" s="1" t="s">
        <v>355</v>
      </c>
      <c r="I854" s="1" t="s">
        <v>2579</v>
      </c>
      <c r="J854" s="5">
        <v>126320</v>
      </c>
      <c r="K854" s="5">
        <v>38000</v>
      </c>
      <c r="L854" s="5">
        <v>190</v>
      </c>
      <c r="M854" s="1" t="s">
        <v>2308</v>
      </c>
      <c r="N854" s="1" t="s">
        <v>3403</v>
      </c>
      <c r="O854" s="1" t="s">
        <v>2521</v>
      </c>
      <c r="P854" s="1" t="s">
        <v>2762</v>
      </c>
      <c r="Q854" s="1" t="s">
        <v>2497</v>
      </c>
      <c r="R854" s="1" t="s">
        <v>4081</v>
      </c>
      <c r="S854" s="1" t="s">
        <v>4937</v>
      </c>
      <c r="T854" s="6">
        <v>44593</v>
      </c>
      <c r="U854" s="6">
        <v>44599</v>
      </c>
      <c r="V854" s="7">
        <v>0.41666666666666669</v>
      </c>
      <c r="W854" s="6">
        <v>44602</v>
      </c>
      <c r="X854" s="7">
        <v>0.70833333333333337</v>
      </c>
      <c r="Y854" s="1" t="s">
        <v>4860</v>
      </c>
      <c r="Z854" s="5">
        <v>119</v>
      </c>
      <c r="AA854" s="1" t="s">
        <v>3403</v>
      </c>
      <c r="AB854" s="1"/>
      <c r="AC854" s="1"/>
      <c r="AD854" s="1"/>
      <c r="AE854" s="1" t="s">
        <v>3811</v>
      </c>
      <c r="AF854" s="1" t="s">
        <v>9</v>
      </c>
      <c r="AG854" s="1" t="s">
        <v>9</v>
      </c>
      <c r="AH854" s="6">
        <v>44634</v>
      </c>
      <c r="AI854" s="6">
        <v>44648</v>
      </c>
    </row>
    <row r="855" spans="1:35" x14ac:dyDescent="0.3">
      <c r="A855" s="1" t="s">
        <v>1882</v>
      </c>
      <c r="B855" s="2" t="str">
        <f>HYPERLINK("https://my.zakupki.prom.ua/remote/dispatcher/state_purchase_lot_view/740647")</f>
        <v>https://my.zakupki.prom.ua/remote/dispatcher/state_purchase_lot_view/740647</v>
      </c>
      <c r="C855" s="1" t="s">
        <v>2451</v>
      </c>
      <c r="D855" s="1" t="s">
        <v>1119</v>
      </c>
      <c r="E855" s="4">
        <v>240</v>
      </c>
      <c r="F855" s="5">
        <v>18</v>
      </c>
      <c r="G855" s="1" t="s">
        <v>4989</v>
      </c>
      <c r="H855" s="1" t="s">
        <v>355</v>
      </c>
      <c r="I855" s="1" t="s">
        <v>2579</v>
      </c>
      <c r="J855" s="5">
        <v>126320</v>
      </c>
      <c r="K855" s="5">
        <v>4320</v>
      </c>
      <c r="L855" s="5">
        <v>21.6</v>
      </c>
      <c r="M855" s="1" t="s">
        <v>2308</v>
      </c>
      <c r="N855" s="1" t="s">
        <v>3403</v>
      </c>
      <c r="O855" s="1" t="s">
        <v>2521</v>
      </c>
      <c r="P855" s="1" t="s">
        <v>2762</v>
      </c>
      <c r="Q855" s="1" t="s">
        <v>2497</v>
      </c>
      <c r="R855" s="1" t="s">
        <v>4081</v>
      </c>
      <c r="S855" s="1" t="s">
        <v>4937</v>
      </c>
      <c r="T855" s="6">
        <v>44593</v>
      </c>
      <c r="U855" s="6">
        <v>44599</v>
      </c>
      <c r="V855" s="7">
        <v>0.41666666666666669</v>
      </c>
      <c r="W855" s="6">
        <v>44602</v>
      </c>
      <c r="X855" s="7">
        <v>0.70833333333333337</v>
      </c>
      <c r="Y855" s="1" t="s">
        <v>4860</v>
      </c>
      <c r="Z855" s="5">
        <v>17</v>
      </c>
      <c r="AA855" s="1" t="s">
        <v>3403</v>
      </c>
      <c r="AB855" s="1"/>
      <c r="AC855" s="1"/>
      <c r="AD855" s="1"/>
      <c r="AE855" s="1" t="s">
        <v>3811</v>
      </c>
      <c r="AF855" s="1" t="s">
        <v>9</v>
      </c>
      <c r="AG855" s="1" t="s">
        <v>9</v>
      </c>
      <c r="AH855" s="6">
        <v>44634</v>
      </c>
      <c r="AI855" s="6">
        <v>44648</v>
      </c>
    </row>
    <row r="856" spans="1:35" x14ac:dyDescent="0.3">
      <c r="A856" s="1" t="s">
        <v>1530</v>
      </c>
      <c r="B856" s="2" t="str">
        <f>HYPERLINK("https://my.zakupki.prom.ua/remote/dispatcher/state_purchase_view/34682194")</f>
        <v>https://my.zakupki.prom.ua/remote/dispatcher/state_purchase_view/34682194</v>
      </c>
      <c r="C856" s="1" t="s">
        <v>3011</v>
      </c>
      <c r="D856" s="1" t="s">
        <v>461</v>
      </c>
      <c r="E856" s="1" t="s">
        <v>4903</v>
      </c>
      <c r="F856" s="1" t="s">
        <v>4903</v>
      </c>
      <c r="G856" s="1" t="s">
        <v>4903</v>
      </c>
      <c r="H856" s="1" t="s">
        <v>640</v>
      </c>
      <c r="I856" s="1" t="s">
        <v>2797</v>
      </c>
      <c r="J856" s="5">
        <v>3252</v>
      </c>
      <c r="K856" s="1" t="s">
        <v>3394</v>
      </c>
      <c r="L856" s="5">
        <v>16.260000000000002</v>
      </c>
      <c r="M856" s="1" t="s">
        <v>2308</v>
      </c>
      <c r="N856" s="1" t="s">
        <v>3983</v>
      </c>
      <c r="O856" s="1" t="s">
        <v>2521</v>
      </c>
      <c r="P856" s="1" t="s">
        <v>3956</v>
      </c>
      <c r="Q856" s="1" t="s">
        <v>2796</v>
      </c>
      <c r="R856" s="1" t="s">
        <v>4484</v>
      </c>
      <c r="S856" s="1" t="s">
        <v>4937</v>
      </c>
      <c r="T856" s="6">
        <v>44593</v>
      </c>
      <c r="U856" s="6">
        <v>44599</v>
      </c>
      <c r="V856" s="7">
        <v>0</v>
      </c>
      <c r="W856" s="6">
        <v>44601</v>
      </c>
      <c r="X856" s="7">
        <v>0</v>
      </c>
      <c r="Y856" s="1" t="s">
        <v>4860</v>
      </c>
      <c r="Z856" s="5">
        <v>17</v>
      </c>
      <c r="AA856" s="1" t="s">
        <v>3403</v>
      </c>
      <c r="AB856" s="1"/>
      <c r="AC856" s="1"/>
      <c r="AD856" s="1"/>
      <c r="AE856" s="1" t="s">
        <v>3788</v>
      </c>
      <c r="AF856" s="1" t="s">
        <v>9</v>
      </c>
      <c r="AG856" s="4">
        <v>1</v>
      </c>
      <c r="AH856" s="1"/>
      <c r="AI856" s="6">
        <v>44926</v>
      </c>
    </row>
    <row r="857" spans="1:35" x14ac:dyDescent="0.3">
      <c r="A857" s="1" t="s">
        <v>1308</v>
      </c>
      <c r="B857" s="2" t="str">
        <f>HYPERLINK("https://my.zakupki.prom.ua/remote/dispatcher/state_purchase_view/34682188")</f>
        <v>https://my.zakupki.prom.ua/remote/dispatcher/state_purchase_view/34682188</v>
      </c>
      <c r="C857" s="1" t="s">
        <v>3925</v>
      </c>
      <c r="D857" s="1" t="s">
        <v>475</v>
      </c>
      <c r="E857" s="4">
        <v>214</v>
      </c>
      <c r="F857" s="5">
        <v>180</v>
      </c>
      <c r="G857" s="1" t="s">
        <v>4883</v>
      </c>
      <c r="H857" s="1" t="s">
        <v>625</v>
      </c>
      <c r="I857" s="1" t="s">
        <v>3260</v>
      </c>
      <c r="J857" s="5">
        <v>38520</v>
      </c>
      <c r="K857" s="1" t="s">
        <v>3394</v>
      </c>
      <c r="L857" s="5">
        <v>192.6</v>
      </c>
      <c r="M857" s="1" t="s">
        <v>2308</v>
      </c>
      <c r="N857" s="1" t="s">
        <v>3983</v>
      </c>
      <c r="O857" s="1" t="s">
        <v>2521</v>
      </c>
      <c r="P857" s="1" t="s">
        <v>3956</v>
      </c>
      <c r="Q857" s="1" t="s">
        <v>3504</v>
      </c>
      <c r="R857" s="1" t="s">
        <v>4508</v>
      </c>
      <c r="S857" s="1" t="s">
        <v>4937</v>
      </c>
      <c r="T857" s="6">
        <v>44593</v>
      </c>
      <c r="U857" s="6">
        <v>44593</v>
      </c>
      <c r="V857" s="7">
        <v>0.86944444444444446</v>
      </c>
      <c r="W857" s="6">
        <v>44596</v>
      </c>
      <c r="X857" s="7">
        <v>0.86944444444444446</v>
      </c>
      <c r="Y857" s="1" t="s">
        <v>4860</v>
      </c>
      <c r="Z857" s="5">
        <v>119</v>
      </c>
      <c r="AA857" s="1" t="s">
        <v>3403</v>
      </c>
      <c r="AB857" s="1"/>
      <c r="AC857" s="1"/>
      <c r="AD857" s="1"/>
      <c r="AE857" s="1" t="s">
        <v>3776</v>
      </c>
      <c r="AF857" s="1" t="s">
        <v>9</v>
      </c>
      <c r="AG857" s="1" t="s">
        <v>9</v>
      </c>
      <c r="AH857" s="1"/>
      <c r="AI857" s="6">
        <v>44926</v>
      </c>
    </row>
    <row r="858" spans="1:35" x14ac:dyDescent="0.3">
      <c r="A858" s="1" t="s">
        <v>1347</v>
      </c>
      <c r="B858" s="2" t="str">
        <f>HYPERLINK("https://my.zakupki.prom.ua/remote/dispatcher/state_purchase_view/34682186")</f>
        <v>https://my.zakupki.prom.ua/remote/dispatcher/state_purchase_view/34682186</v>
      </c>
      <c r="C858" s="1" t="s">
        <v>2535</v>
      </c>
      <c r="D858" s="1" t="s">
        <v>370</v>
      </c>
      <c r="E858" s="4">
        <v>65000</v>
      </c>
      <c r="F858" s="5">
        <v>16.920000000000002</v>
      </c>
      <c r="G858" s="1" t="s">
        <v>4908</v>
      </c>
      <c r="H858" s="1" t="s">
        <v>404</v>
      </c>
      <c r="I858" s="1" t="s">
        <v>2982</v>
      </c>
      <c r="J858" s="5">
        <v>1100000</v>
      </c>
      <c r="K858" s="1" t="s">
        <v>3394</v>
      </c>
      <c r="L858" s="5">
        <v>5500</v>
      </c>
      <c r="M858" s="1" t="s">
        <v>2308</v>
      </c>
      <c r="N858" s="1" t="s">
        <v>3983</v>
      </c>
      <c r="O858" s="1" t="s">
        <v>2521</v>
      </c>
      <c r="P858" s="1" t="s">
        <v>2515</v>
      </c>
      <c r="Q858" s="1" t="s">
        <v>3262</v>
      </c>
      <c r="R858" s="1" t="s">
        <v>4506</v>
      </c>
      <c r="S858" s="1" t="s">
        <v>4971</v>
      </c>
      <c r="T858" s="6">
        <v>44593</v>
      </c>
      <c r="U858" s="6">
        <v>44593</v>
      </c>
      <c r="V858" s="7">
        <v>0.4788705474189815</v>
      </c>
      <c r="W858" s="6">
        <v>44609</v>
      </c>
      <c r="X858" s="7">
        <v>0</v>
      </c>
      <c r="Y858" s="8">
        <v>44609.521435185183</v>
      </c>
      <c r="Z858" s="5">
        <v>1700</v>
      </c>
      <c r="AA858" s="1" t="s">
        <v>3403</v>
      </c>
      <c r="AB858" s="1"/>
      <c r="AC858" s="1"/>
      <c r="AD858" s="1"/>
      <c r="AE858" s="1" t="s">
        <v>3788</v>
      </c>
      <c r="AF858" s="1" t="s">
        <v>9</v>
      </c>
      <c r="AG858" s="4">
        <v>4</v>
      </c>
      <c r="AH858" s="1"/>
      <c r="AI858" s="6">
        <v>44926</v>
      </c>
    </row>
    <row r="859" spans="1:35" x14ac:dyDescent="0.3">
      <c r="A859" s="1" t="s">
        <v>1545</v>
      </c>
      <c r="B859" s="2" t="str">
        <f>HYPERLINK("https://my.zakupki.prom.ua/remote/dispatcher/state_purchase_view/34682144")</f>
        <v>https://my.zakupki.prom.ua/remote/dispatcher/state_purchase_view/34682144</v>
      </c>
      <c r="C859" s="1" t="s">
        <v>3827</v>
      </c>
      <c r="D859" s="1" t="s">
        <v>470</v>
      </c>
      <c r="E859" s="4">
        <v>2000</v>
      </c>
      <c r="F859" s="5">
        <v>62</v>
      </c>
      <c r="G859" s="1" t="s">
        <v>4902</v>
      </c>
      <c r="H859" s="1" t="s">
        <v>171</v>
      </c>
      <c r="I859" s="1" t="s">
        <v>3086</v>
      </c>
      <c r="J859" s="5">
        <v>124000</v>
      </c>
      <c r="K859" s="1" t="s">
        <v>3394</v>
      </c>
      <c r="L859" s="5">
        <v>620</v>
      </c>
      <c r="M859" s="1" t="s">
        <v>2308</v>
      </c>
      <c r="N859" s="1" t="s">
        <v>3983</v>
      </c>
      <c r="O859" s="1" t="s">
        <v>2521</v>
      </c>
      <c r="P859" s="1" t="s">
        <v>3956</v>
      </c>
      <c r="Q859" s="1" t="s">
        <v>2334</v>
      </c>
      <c r="R859" s="1" t="s">
        <v>4066</v>
      </c>
      <c r="S859" s="1" t="s">
        <v>4937</v>
      </c>
      <c r="T859" s="6">
        <v>44593</v>
      </c>
      <c r="U859" s="6">
        <v>44599</v>
      </c>
      <c r="V859" s="7">
        <v>0</v>
      </c>
      <c r="W859" s="6">
        <v>44602</v>
      </c>
      <c r="X859" s="7">
        <v>0</v>
      </c>
      <c r="Y859" s="1" t="s">
        <v>4860</v>
      </c>
      <c r="Z859" s="5">
        <v>340</v>
      </c>
      <c r="AA859" s="1" t="s">
        <v>3403</v>
      </c>
      <c r="AB859" s="1"/>
      <c r="AC859" s="1"/>
      <c r="AD859" s="1"/>
      <c r="AE859" s="1" t="s">
        <v>3796</v>
      </c>
      <c r="AF859" s="1" t="s">
        <v>9</v>
      </c>
      <c r="AG859" s="4">
        <v>1</v>
      </c>
      <c r="AH859" s="1"/>
      <c r="AI859" s="6">
        <v>44926</v>
      </c>
    </row>
    <row r="860" spans="1:35" x14ac:dyDescent="0.3">
      <c r="A860" s="1" t="s">
        <v>1873</v>
      </c>
      <c r="B860" s="2" t="str">
        <f>HYPERLINK("https://my.zakupki.prom.ua/remote/dispatcher/state_purchase_view/34682143")</f>
        <v>https://my.zakupki.prom.ua/remote/dispatcher/state_purchase_view/34682143</v>
      </c>
      <c r="C860" s="1" t="s">
        <v>3520</v>
      </c>
      <c r="D860" s="1" t="s">
        <v>1284</v>
      </c>
      <c r="E860" s="1" t="s">
        <v>4903</v>
      </c>
      <c r="F860" s="1" t="s">
        <v>4903</v>
      </c>
      <c r="G860" s="1" t="s">
        <v>4903</v>
      </c>
      <c r="H860" s="1" t="s">
        <v>428</v>
      </c>
      <c r="I860" s="1" t="s">
        <v>2446</v>
      </c>
      <c r="J860" s="5">
        <v>128970.65</v>
      </c>
      <c r="K860" s="1" t="s">
        <v>3394</v>
      </c>
      <c r="L860" s="5">
        <v>1290</v>
      </c>
      <c r="M860" s="1" t="s">
        <v>2308</v>
      </c>
      <c r="N860" s="1" t="s">
        <v>3983</v>
      </c>
      <c r="O860" s="1" t="s">
        <v>2521</v>
      </c>
      <c r="P860" s="1" t="s">
        <v>3956</v>
      </c>
      <c r="Q860" s="1" t="s">
        <v>2796</v>
      </c>
      <c r="R860" s="1" t="s">
        <v>4154</v>
      </c>
      <c r="S860" s="1" t="s">
        <v>4937</v>
      </c>
      <c r="T860" s="6">
        <v>44593</v>
      </c>
      <c r="U860" s="6">
        <v>44599</v>
      </c>
      <c r="V860" s="7">
        <v>0</v>
      </c>
      <c r="W860" s="6">
        <v>44602</v>
      </c>
      <c r="X860" s="7">
        <v>0</v>
      </c>
      <c r="Y860" s="1" t="s">
        <v>4860</v>
      </c>
      <c r="Z860" s="5">
        <v>340</v>
      </c>
      <c r="AA860" s="1" t="s">
        <v>3403</v>
      </c>
      <c r="AB860" s="1"/>
      <c r="AC860" s="1"/>
      <c r="AD860" s="1"/>
      <c r="AE860" s="1" t="s">
        <v>3724</v>
      </c>
      <c r="AF860" s="1" t="s">
        <v>9</v>
      </c>
      <c r="AG860" s="4">
        <v>6</v>
      </c>
      <c r="AH860" s="1"/>
      <c r="AI860" s="6">
        <v>44926</v>
      </c>
    </row>
    <row r="861" spans="1:35" x14ac:dyDescent="0.3">
      <c r="A861" s="1" t="s">
        <v>1901</v>
      </c>
      <c r="B861" s="2" t="str">
        <f>HYPERLINK("https://my.zakupki.prom.ua/remote/dispatcher/state_purchase_view/34682141")</f>
        <v>https://my.zakupki.prom.ua/remote/dispatcher/state_purchase_view/34682141</v>
      </c>
      <c r="C861" s="1" t="s">
        <v>3511</v>
      </c>
      <c r="D861" s="1" t="s">
        <v>1238</v>
      </c>
      <c r="E861" s="4">
        <v>1</v>
      </c>
      <c r="F861" s="5">
        <v>582800</v>
      </c>
      <c r="G861" s="1" t="s">
        <v>4940</v>
      </c>
      <c r="H861" s="1" t="s">
        <v>1042</v>
      </c>
      <c r="I861" s="1" t="s">
        <v>2944</v>
      </c>
      <c r="J861" s="5">
        <v>582800</v>
      </c>
      <c r="K861" s="1" t="s">
        <v>3394</v>
      </c>
      <c r="L861" s="5">
        <v>2914</v>
      </c>
      <c r="M861" s="1" t="s">
        <v>2308</v>
      </c>
      <c r="N861" s="1" t="s">
        <v>3983</v>
      </c>
      <c r="O861" s="1" t="s">
        <v>2521</v>
      </c>
      <c r="P861" s="1" t="s">
        <v>2515</v>
      </c>
      <c r="Q861" s="1" t="s">
        <v>4805</v>
      </c>
      <c r="R861" s="1" t="s">
        <v>4110</v>
      </c>
      <c r="S861" s="1" t="s">
        <v>4971</v>
      </c>
      <c r="T861" s="6">
        <v>44593</v>
      </c>
      <c r="U861" s="6">
        <v>44593</v>
      </c>
      <c r="V861" s="7">
        <v>0.48339090049768518</v>
      </c>
      <c r="W861" s="6">
        <v>44609</v>
      </c>
      <c r="X861" s="7">
        <v>0.48125000000000001</v>
      </c>
      <c r="Y861" s="8">
        <v>44610.609953703701</v>
      </c>
      <c r="Z861" s="5">
        <v>510</v>
      </c>
      <c r="AA861" s="1" t="s">
        <v>3403</v>
      </c>
      <c r="AB861" s="1"/>
      <c r="AC861" s="1"/>
      <c r="AD861" s="1"/>
      <c r="AE861" s="1" t="s">
        <v>3755</v>
      </c>
      <c r="AF861" s="1" t="s">
        <v>9</v>
      </c>
      <c r="AG861" s="1" t="s">
        <v>9</v>
      </c>
      <c r="AH861" s="1"/>
      <c r="AI861" s="6">
        <v>44926</v>
      </c>
    </row>
    <row r="862" spans="1:35" x14ac:dyDescent="0.3">
      <c r="A862" s="1" t="s">
        <v>1857</v>
      </c>
      <c r="B862" s="2" t="str">
        <f>HYPERLINK("https://my.zakupki.prom.ua/remote/dispatcher/state_purchase_view/34682135")</f>
        <v>https://my.zakupki.prom.ua/remote/dispatcher/state_purchase_view/34682135</v>
      </c>
      <c r="C862" s="1" t="s">
        <v>3623</v>
      </c>
      <c r="D862" s="1" t="s">
        <v>1285</v>
      </c>
      <c r="E862" s="4">
        <v>1</v>
      </c>
      <c r="F862" s="5">
        <v>100000</v>
      </c>
      <c r="G862" s="1" t="s">
        <v>4939</v>
      </c>
      <c r="H862" s="1" t="s">
        <v>944</v>
      </c>
      <c r="I862" s="1" t="s">
        <v>2423</v>
      </c>
      <c r="J862" s="5">
        <v>100000</v>
      </c>
      <c r="K862" s="1" t="s">
        <v>3394</v>
      </c>
      <c r="L862" s="5">
        <v>500</v>
      </c>
      <c r="M862" s="1" t="s">
        <v>2308</v>
      </c>
      <c r="N862" s="1" t="s">
        <v>3403</v>
      </c>
      <c r="O862" s="1" t="s">
        <v>2521</v>
      </c>
      <c r="P862" s="1" t="s">
        <v>2516</v>
      </c>
      <c r="Q862" s="1" t="s">
        <v>3426</v>
      </c>
      <c r="R862" s="1" t="s">
        <v>4081</v>
      </c>
      <c r="S862" s="1" t="s">
        <v>4971</v>
      </c>
      <c r="T862" s="6">
        <v>44593</v>
      </c>
      <c r="U862" s="6">
        <v>44593</v>
      </c>
      <c r="V862" s="7">
        <v>0.48028935185185184</v>
      </c>
      <c r="W862" s="6">
        <v>44625</v>
      </c>
      <c r="X862" s="7">
        <v>0.5</v>
      </c>
      <c r="Y862" s="8">
        <v>44662.577037037037</v>
      </c>
      <c r="Z862" s="5">
        <v>340</v>
      </c>
      <c r="AA862" s="1" t="s">
        <v>3403</v>
      </c>
      <c r="AB862" s="1"/>
      <c r="AC862" s="1"/>
      <c r="AD862" s="1"/>
      <c r="AE862" s="1" t="s">
        <v>3736</v>
      </c>
      <c r="AF862" s="1" t="s">
        <v>9</v>
      </c>
      <c r="AG862" s="4">
        <v>8</v>
      </c>
      <c r="AH862" s="1"/>
      <c r="AI862" s="6">
        <v>44926</v>
      </c>
    </row>
    <row r="863" spans="1:35" x14ac:dyDescent="0.3">
      <c r="A863" s="1" t="s">
        <v>1896</v>
      </c>
      <c r="B863" s="2" t="str">
        <f>HYPERLINK("https://my.zakupki.prom.ua/remote/dispatcher/state_purchase_view/34682104")</f>
        <v>https://my.zakupki.prom.ua/remote/dispatcher/state_purchase_view/34682104</v>
      </c>
      <c r="C863" s="1" t="s">
        <v>3644</v>
      </c>
      <c r="D863" s="1" t="s">
        <v>1304</v>
      </c>
      <c r="E863" s="1" t="s">
        <v>4903</v>
      </c>
      <c r="F863" s="1" t="s">
        <v>4903</v>
      </c>
      <c r="G863" s="1" t="s">
        <v>4903</v>
      </c>
      <c r="H863" s="1" t="s">
        <v>94</v>
      </c>
      <c r="I863" s="1" t="s">
        <v>2916</v>
      </c>
      <c r="J863" s="5">
        <v>57000</v>
      </c>
      <c r="K863" s="1" t="s">
        <v>3394</v>
      </c>
      <c r="L863" s="5">
        <v>285</v>
      </c>
      <c r="M863" s="1" t="s">
        <v>2308</v>
      </c>
      <c r="N863" s="1" t="s">
        <v>3983</v>
      </c>
      <c r="O863" s="1" t="s">
        <v>2521</v>
      </c>
      <c r="P863" s="1" t="s">
        <v>3956</v>
      </c>
      <c r="Q863" s="1" t="s">
        <v>3325</v>
      </c>
      <c r="R863" s="1" t="s">
        <v>4687</v>
      </c>
      <c r="S863" s="1" t="s">
        <v>4937</v>
      </c>
      <c r="T863" s="6">
        <v>44593</v>
      </c>
      <c r="U863" s="6">
        <v>44599</v>
      </c>
      <c r="V863" s="7">
        <v>0.41666666666666669</v>
      </c>
      <c r="W863" s="6">
        <v>44602</v>
      </c>
      <c r="X863" s="7">
        <v>0.66666666666666663</v>
      </c>
      <c r="Y863" s="1" t="s">
        <v>4860</v>
      </c>
      <c r="Z863" s="5">
        <v>340</v>
      </c>
      <c r="AA863" s="1" t="s">
        <v>3403</v>
      </c>
      <c r="AB863" s="1"/>
      <c r="AC863" s="1"/>
      <c r="AD863" s="1"/>
      <c r="AE863" s="1" t="s">
        <v>3754</v>
      </c>
      <c r="AF863" s="1" t="s">
        <v>9</v>
      </c>
      <c r="AG863" s="4">
        <v>3</v>
      </c>
      <c r="AH863" s="6">
        <v>44606</v>
      </c>
      <c r="AI863" s="6">
        <v>44926</v>
      </c>
    </row>
    <row r="864" spans="1:35" x14ac:dyDescent="0.3">
      <c r="A864" s="1" t="s">
        <v>1894</v>
      </c>
      <c r="B864" s="2" t="str">
        <f>HYPERLINK("https://my.zakupki.prom.ua/remote/dispatcher/state_purchase_view/34682084")</f>
        <v>https://my.zakupki.prom.ua/remote/dispatcher/state_purchase_view/34682084</v>
      </c>
      <c r="C864" s="1" t="s">
        <v>3508</v>
      </c>
      <c r="D864" s="1" t="s">
        <v>1219</v>
      </c>
      <c r="E864" s="4">
        <v>1</v>
      </c>
      <c r="F864" s="5">
        <v>6000</v>
      </c>
      <c r="G864" s="1" t="s">
        <v>4940</v>
      </c>
      <c r="H864" s="1" t="s">
        <v>298</v>
      </c>
      <c r="I864" s="1" t="s">
        <v>3984</v>
      </c>
      <c r="J864" s="5">
        <v>6000</v>
      </c>
      <c r="K864" s="1" t="s">
        <v>3394</v>
      </c>
      <c r="L864" s="5">
        <v>30</v>
      </c>
      <c r="M864" s="1" t="s">
        <v>2308</v>
      </c>
      <c r="N864" s="1" t="s">
        <v>3983</v>
      </c>
      <c r="O864" s="1" t="s">
        <v>2521</v>
      </c>
      <c r="P864" s="1" t="s">
        <v>3956</v>
      </c>
      <c r="Q864" s="1" t="s">
        <v>3426</v>
      </c>
      <c r="R864" s="1" t="s">
        <v>4081</v>
      </c>
      <c r="S864" s="1" t="s">
        <v>4937</v>
      </c>
      <c r="T864" s="6">
        <v>44593</v>
      </c>
      <c r="U864" s="6">
        <v>44599</v>
      </c>
      <c r="V864" s="7">
        <v>0</v>
      </c>
      <c r="W864" s="6">
        <v>44613</v>
      </c>
      <c r="X864" s="7">
        <v>0</v>
      </c>
      <c r="Y864" s="1" t="s">
        <v>4860</v>
      </c>
      <c r="Z864" s="5">
        <v>17</v>
      </c>
      <c r="AA864" s="1" t="s">
        <v>3403</v>
      </c>
      <c r="AB864" s="1"/>
      <c r="AC864" s="1"/>
      <c r="AD864" s="1"/>
      <c r="AE864" s="1" t="s">
        <v>3751</v>
      </c>
      <c r="AF864" s="1" t="s">
        <v>9</v>
      </c>
      <c r="AG864" s="4">
        <v>2</v>
      </c>
      <c r="AH864" s="1"/>
      <c r="AI864" s="6">
        <v>44631</v>
      </c>
    </row>
    <row r="865" spans="1:35" x14ac:dyDescent="0.3">
      <c r="A865" s="1" t="s">
        <v>1891</v>
      </c>
      <c r="B865" s="2" t="str">
        <f>HYPERLINK("https://my.zakupki.prom.ua/remote/dispatcher/state_purchase_view/34679927")</f>
        <v>https://my.zakupki.prom.ua/remote/dispatcher/state_purchase_view/34679927</v>
      </c>
      <c r="C865" s="1" t="s">
        <v>3867</v>
      </c>
      <c r="D865" s="1" t="s">
        <v>1135</v>
      </c>
      <c r="E865" s="4">
        <v>1</v>
      </c>
      <c r="F865" s="5">
        <v>199000</v>
      </c>
      <c r="G865" s="1" t="s">
        <v>4976</v>
      </c>
      <c r="H865" s="1" t="s">
        <v>283</v>
      </c>
      <c r="I865" s="1" t="s">
        <v>4026</v>
      </c>
      <c r="J865" s="5">
        <v>199000</v>
      </c>
      <c r="K865" s="1" t="s">
        <v>3394</v>
      </c>
      <c r="L865" s="5">
        <v>1990</v>
      </c>
      <c r="M865" s="1" t="s">
        <v>2308</v>
      </c>
      <c r="N865" s="1" t="s">
        <v>3983</v>
      </c>
      <c r="O865" s="1" t="s">
        <v>2521</v>
      </c>
      <c r="P865" s="1" t="s">
        <v>3956</v>
      </c>
      <c r="Q865" s="1" t="s">
        <v>3504</v>
      </c>
      <c r="R865" s="1" t="s">
        <v>4148</v>
      </c>
      <c r="S865" s="1" t="s">
        <v>4937</v>
      </c>
      <c r="T865" s="6">
        <v>44593</v>
      </c>
      <c r="U865" s="6">
        <v>44599</v>
      </c>
      <c r="V865" s="7">
        <v>0</v>
      </c>
      <c r="W865" s="6">
        <v>44602</v>
      </c>
      <c r="X865" s="7">
        <v>0</v>
      </c>
      <c r="Y865" s="1" t="s">
        <v>4860</v>
      </c>
      <c r="Z865" s="5">
        <v>340</v>
      </c>
      <c r="AA865" s="1" t="s">
        <v>3403</v>
      </c>
      <c r="AB865" s="1"/>
      <c r="AC865" s="1"/>
      <c r="AD865" s="1"/>
      <c r="AE865" s="1" t="s">
        <v>3698</v>
      </c>
      <c r="AF865" s="1" t="s">
        <v>9</v>
      </c>
      <c r="AG865" s="4">
        <v>11</v>
      </c>
      <c r="AH865" s="1"/>
      <c r="AI865" s="6">
        <v>44712</v>
      </c>
    </row>
    <row r="866" spans="1:35" x14ac:dyDescent="0.3">
      <c r="A866" s="1" t="s">
        <v>1890</v>
      </c>
      <c r="B866" s="2" t="str">
        <f>HYPERLINK("https://my.zakupki.prom.ua/remote/dispatcher/state_purchase_view/34682073")</f>
        <v>https://my.zakupki.prom.ua/remote/dispatcher/state_purchase_view/34682073</v>
      </c>
      <c r="C866" s="1" t="s">
        <v>2659</v>
      </c>
      <c r="D866" s="1" t="s">
        <v>1215</v>
      </c>
      <c r="E866" s="4">
        <v>133</v>
      </c>
      <c r="F866" s="5">
        <v>1127.82</v>
      </c>
      <c r="G866" s="1" t="s">
        <v>4940</v>
      </c>
      <c r="H866" s="1" t="s">
        <v>872</v>
      </c>
      <c r="I866" s="1" t="s">
        <v>2975</v>
      </c>
      <c r="J866" s="5">
        <v>150000</v>
      </c>
      <c r="K866" s="1" t="s">
        <v>3394</v>
      </c>
      <c r="L866" s="5">
        <v>1500</v>
      </c>
      <c r="M866" s="1" t="s">
        <v>2308</v>
      </c>
      <c r="N866" s="1" t="s">
        <v>3983</v>
      </c>
      <c r="O866" s="1" t="s">
        <v>2521</v>
      </c>
      <c r="P866" s="1" t="s">
        <v>3956</v>
      </c>
      <c r="Q866" s="1" t="s">
        <v>2756</v>
      </c>
      <c r="R866" s="1" t="s">
        <v>4081</v>
      </c>
      <c r="S866" s="1" t="s">
        <v>4937</v>
      </c>
      <c r="T866" s="6">
        <v>44593</v>
      </c>
      <c r="U866" s="6">
        <v>44599</v>
      </c>
      <c r="V866" s="7">
        <v>0.41666666666666669</v>
      </c>
      <c r="W866" s="6">
        <v>44602</v>
      </c>
      <c r="X866" s="7">
        <v>0.5</v>
      </c>
      <c r="Y866" s="1" t="s">
        <v>4860</v>
      </c>
      <c r="Z866" s="5">
        <v>340</v>
      </c>
      <c r="AA866" s="1" t="s">
        <v>3403</v>
      </c>
      <c r="AB866" s="1"/>
      <c r="AC866" s="1"/>
      <c r="AD866" s="1"/>
      <c r="AE866" s="1" t="s">
        <v>2361</v>
      </c>
      <c r="AF866" s="1" t="s">
        <v>9</v>
      </c>
      <c r="AG866" s="4">
        <v>5</v>
      </c>
      <c r="AH866" s="6">
        <v>44621</v>
      </c>
      <c r="AI866" s="6">
        <v>44926</v>
      </c>
    </row>
    <row r="867" spans="1:35" x14ac:dyDescent="0.3">
      <c r="A867" s="1" t="s">
        <v>1887</v>
      </c>
      <c r="B867" s="2" t="str">
        <f>HYPERLINK("https://my.zakupki.prom.ua/remote/dispatcher/state_purchase_view/34682029")</f>
        <v>https://my.zakupki.prom.ua/remote/dispatcher/state_purchase_view/34682029</v>
      </c>
      <c r="C867" s="1" t="s">
        <v>3565</v>
      </c>
      <c r="D867" s="1" t="s">
        <v>1256</v>
      </c>
      <c r="E867" s="4">
        <v>1</v>
      </c>
      <c r="F867" s="5">
        <v>140534</v>
      </c>
      <c r="G867" s="1" t="s">
        <v>4940</v>
      </c>
      <c r="H867" s="1" t="s">
        <v>144</v>
      </c>
      <c r="I867" s="1" t="s">
        <v>2430</v>
      </c>
      <c r="J867" s="5">
        <v>140534</v>
      </c>
      <c r="K867" s="1" t="s">
        <v>3394</v>
      </c>
      <c r="L867" s="5">
        <v>702.67</v>
      </c>
      <c r="M867" s="1" t="s">
        <v>2308</v>
      </c>
      <c r="N867" s="1" t="s">
        <v>3983</v>
      </c>
      <c r="O867" s="1" t="s">
        <v>2521</v>
      </c>
      <c r="P867" s="1" t="s">
        <v>3956</v>
      </c>
      <c r="Q867" s="1" t="s">
        <v>2756</v>
      </c>
      <c r="R867" s="1" t="s">
        <v>4395</v>
      </c>
      <c r="S867" s="1" t="s">
        <v>4937</v>
      </c>
      <c r="T867" s="6">
        <v>44593</v>
      </c>
      <c r="U867" s="6">
        <v>44599</v>
      </c>
      <c r="V867" s="7">
        <v>0.41666666666666669</v>
      </c>
      <c r="W867" s="6">
        <v>44602</v>
      </c>
      <c r="X867" s="7">
        <v>0</v>
      </c>
      <c r="Y867" s="1" t="s">
        <v>4860</v>
      </c>
      <c r="Z867" s="5">
        <v>340</v>
      </c>
      <c r="AA867" s="1" t="s">
        <v>3403</v>
      </c>
      <c r="AB867" s="1"/>
      <c r="AC867" s="1"/>
      <c r="AD867" s="1"/>
      <c r="AE867" s="1" t="s">
        <v>3750</v>
      </c>
      <c r="AF867" s="1" t="s">
        <v>9</v>
      </c>
      <c r="AG867" s="4">
        <v>33</v>
      </c>
      <c r="AH867" s="1"/>
      <c r="AI867" s="6">
        <v>44926</v>
      </c>
    </row>
    <row r="868" spans="1:35" x14ac:dyDescent="0.3">
      <c r="A868" s="1" t="s">
        <v>1886</v>
      </c>
      <c r="B868" s="2" t="str">
        <f>HYPERLINK("https://my.zakupki.prom.ua/remote/dispatcher/state_purchase_view/34682021")</f>
        <v>https://my.zakupki.prom.ua/remote/dispatcher/state_purchase_view/34682021</v>
      </c>
      <c r="C868" s="1" t="s">
        <v>4784</v>
      </c>
      <c r="D868" s="1" t="s">
        <v>441</v>
      </c>
      <c r="E868" s="4">
        <v>920</v>
      </c>
      <c r="F868" s="5">
        <v>111</v>
      </c>
      <c r="G868" s="1" t="s">
        <v>4901</v>
      </c>
      <c r="H868" s="1" t="s">
        <v>670</v>
      </c>
      <c r="I868" s="1" t="s">
        <v>3880</v>
      </c>
      <c r="J868" s="5">
        <v>102120</v>
      </c>
      <c r="K868" s="1" t="s">
        <v>3394</v>
      </c>
      <c r="L868" s="5">
        <v>510.6</v>
      </c>
      <c r="M868" s="1" t="s">
        <v>2308</v>
      </c>
      <c r="N868" s="1" t="s">
        <v>3983</v>
      </c>
      <c r="O868" s="1" t="s">
        <v>2521</v>
      </c>
      <c r="P868" s="1" t="s">
        <v>3956</v>
      </c>
      <c r="Q868" s="1" t="s">
        <v>2528</v>
      </c>
      <c r="R868" s="1" t="s">
        <v>4130</v>
      </c>
      <c r="S868" s="1" t="s">
        <v>4937</v>
      </c>
      <c r="T868" s="6">
        <v>44593</v>
      </c>
      <c r="U868" s="6">
        <v>44599</v>
      </c>
      <c r="V868" s="7">
        <v>0</v>
      </c>
      <c r="W868" s="6">
        <v>44602</v>
      </c>
      <c r="X868" s="7">
        <v>0.95833333333333337</v>
      </c>
      <c r="Y868" s="1" t="s">
        <v>4860</v>
      </c>
      <c r="Z868" s="5">
        <v>340</v>
      </c>
      <c r="AA868" s="1" t="s">
        <v>3403</v>
      </c>
      <c r="AB868" s="1"/>
      <c r="AC868" s="1"/>
      <c r="AD868" s="1"/>
      <c r="AE868" s="1" t="s">
        <v>3774</v>
      </c>
      <c r="AF868" s="1" t="s">
        <v>9</v>
      </c>
      <c r="AG868" s="1" t="s">
        <v>9</v>
      </c>
      <c r="AH868" s="6">
        <v>44613</v>
      </c>
      <c r="AI868" s="6">
        <v>44926</v>
      </c>
    </row>
    <row r="869" spans="1:35" x14ac:dyDescent="0.3">
      <c r="A869" s="1" t="s">
        <v>1885</v>
      </c>
      <c r="B869" s="2" t="str">
        <f>HYPERLINK("https://my.zakupki.prom.ua/remote/dispatcher/state_purchase_view/34682016")</f>
        <v>https://my.zakupki.prom.ua/remote/dispatcher/state_purchase_view/34682016</v>
      </c>
      <c r="C869" s="1" t="s">
        <v>3914</v>
      </c>
      <c r="D869" s="1" t="s">
        <v>477</v>
      </c>
      <c r="E869" s="4">
        <v>4845</v>
      </c>
      <c r="F869" s="5">
        <v>94.32</v>
      </c>
      <c r="G869" s="1" t="s">
        <v>4901</v>
      </c>
      <c r="H869" s="1" t="s">
        <v>315</v>
      </c>
      <c r="I869" s="1" t="s">
        <v>3172</v>
      </c>
      <c r="J869" s="5">
        <v>456981</v>
      </c>
      <c r="K869" s="1" t="s">
        <v>3394</v>
      </c>
      <c r="L869" s="5">
        <v>2284.91</v>
      </c>
      <c r="M869" s="1" t="s">
        <v>2308</v>
      </c>
      <c r="N869" s="1" t="s">
        <v>3983</v>
      </c>
      <c r="O869" s="1" t="s">
        <v>2521</v>
      </c>
      <c r="P869" s="1" t="s">
        <v>2515</v>
      </c>
      <c r="Q869" s="1" t="s">
        <v>2756</v>
      </c>
      <c r="R869" s="1" t="s">
        <v>4122</v>
      </c>
      <c r="S869" s="1" t="s">
        <v>4971</v>
      </c>
      <c r="T869" s="6">
        <v>44593</v>
      </c>
      <c r="U869" s="6">
        <v>44593</v>
      </c>
      <c r="V869" s="7">
        <v>0.48168132506944444</v>
      </c>
      <c r="W869" s="6">
        <v>44609</v>
      </c>
      <c r="X869" s="7">
        <v>0.95833333333333337</v>
      </c>
      <c r="Y869" s="8">
        <v>44610.582673611112</v>
      </c>
      <c r="Z869" s="5">
        <v>510</v>
      </c>
      <c r="AA869" s="1" t="s">
        <v>3403</v>
      </c>
      <c r="AB869" s="1"/>
      <c r="AC869" s="1"/>
      <c r="AD869" s="1"/>
      <c r="AE869" s="1" t="s">
        <v>3788</v>
      </c>
      <c r="AF869" s="1" t="s">
        <v>9</v>
      </c>
      <c r="AG869" s="4">
        <v>13</v>
      </c>
      <c r="AH869" s="1"/>
      <c r="AI869" s="6">
        <v>44926</v>
      </c>
    </row>
    <row r="870" spans="1:35" x14ac:dyDescent="0.3">
      <c r="A870" s="1" t="s">
        <v>1883</v>
      </c>
      <c r="B870" s="2" t="str">
        <f>HYPERLINK("https://my.zakupki.prom.ua/remote/dispatcher/state_purchase_view/34682008")</f>
        <v>https://my.zakupki.prom.ua/remote/dispatcher/state_purchase_view/34682008</v>
      </c>
      <c r="C870" s="1" t="s">
        <v>3653</v>
      </c>
      <c r="D870" s="1" t="s">
        <v>888</v>
      </c>
      <c r="E870" s="4">
        <v>74</v>
      </c>
      <c r="F870" s="5">
        <v>480000</v>
      </c>
      <c r="G870" s="1" t="s">
        <v>4896</v>
      </c>
      <c r="H870" s="1" t="s">
        <v>937</v>
      </c>
      <c r="I870" s="1" t="s">
        <v>2708</v>
      </c>
      <c r="J870" s="5">
        <v>35520000</v>
      </c>
      <c r="K870" s="1" t="s">
        <v>3394</v>
      </c>
      <c r="L870" s="5">
        <v>177600</v>
      </c>
      <c r="M870" s="1" t="s">
        <v>2308</v>
      </c>
      <c r="N870" s="1" t="s">
        <v>3983</v>
      </c>
      <c r="O870" s="1" t="s">
        <v>1217</v>
      </c>
      <c r="P870" s="1" t="s">
        <v>2516</v>
      </c>
      <c r="Q870" s="1" t="s">
        <v>2756</v>
      </c>
      <c r="R870" s="1" t="s">
        <v>4595</v>
      </c>
      <c r="S870" s="1" t="s">
        <v>4971</v>
      </c>
      <c r="T870" s="6">
        <v>44593</v>
      </c>
      <c r="U870" s="6">
        <v>44593</v>
      </c>
      <c r="V870" s="7">
        <v>0.48147639446759261</v>
      </c>
      <c r="W870" s="6">
        <v>44624</v>
      </c>
      <c r="X870" s="7">
        <v>0.75</v>
      </c>
      <c r="Y870" s="8">
        <v>44662.594224537039</v>
      </c>
      <c r="Z870" s="5">
        <v>3400</v>
      </c>
      <c r="AA870" s="1" t="s">
        <v>3403</v>
      </c>
      <c r="AB870" s="1"/>
      <c r="AC870" s="1"/>
      <c r="AD870" s="1"/>
      <c r="AE870" s="1" t="s">
        <v>3809</v>
      </c>
      <c r="AF870" s="1" t="s">
        <v>9</v>
      </c>
      <c r="AG870" s="4">
        <v>81</v>
      </c>
      <c r="AH870" s="1"/>
      <c r="AI870" s="6">
        <v>44921</v>
      </c>
    </row>
    <row r="871" spans="1:35" x14ac:dyDescent="0.3">
      <c r="A871" s="1" t="s">
        <v>1881</v>
      </c>
      <c r="B871" s="2" t="str">
        <f>HYPERLINK("https://my.zakupki.prom.ua/remote/dispatcher/state_purchase_view/34681999")</f>
        <v>https://my.zakupki.prom.ua/remote/dispatcher/state_purchase_view/34681999</v>
      </c>
      <c r="C871" s="1" t="s">
        <v>3564</v>
      </c>
      <c r="D871" s="1" t="s">
        <v>1256</v>
      </c>
      <c r="E871" s="4">
        <v>1</v>
      </c>
      <c r="F871" s="5">
        <v>100000</v>
      </c>
      <c r="G871" s="1" t="s">
        <v>4940</v>
      </c>
      <c r="H871" s="1" t="s">
        <v>411</v>
      </c>
      <c r="I871" s="1" t="s">
        <v>2547</v>
      </c>
      <c r="J871" s="5">
        <v>100000</v>
      </c>
      <c r="K871" s="1" t="s">
        <v>3394</v>
      </c>
      <c r="L871" s="5">
        <v>500</v>
      </c>
      <c r="M871" s="1" t="s">
        <v>2308</v>
      </c>
      <c r="N871" s="1" t="s">
        <v>3983</v>
      </c>
      <c r="O871" s="1" t="s">
        <v>2521</v>
      </c>
      <c r="P871" s="1" t="s">
        <v>3956</v>
      </c>
      <c r="Q871" s="1" t="s">
        <v>3325</v>
      </c>
      <c r="R871" s="1" t="s">
        <v>4081</v>
      </c>
      <c r="S871" s="1" t="s">
        <v>4937</v>
      </c>
      <c r="T871" s="6">
        <v>44593</v>
      </c>
      <c r="U871" s="6">
        <v>44599</v>
      </c>
      <c r="V871" s="7">
        <v>0</v>
      </c>
      <c r="W871" s="6">
        <v>44602</v>
      </c>
      <c r="X871" s="7">
        <v>0</v>
      </c>
      <c r="Y871" s="1" t="s">
        <v>4860</v>
      </c>
      <c r="Z871" s="5">
        <v>340</v>
      </c>
      <c r="AA871" s="1" t="s">
        <v>3403</v>
      </c>
      <c r="AB871" s="1"/>
      <c r="AC871" s="1"/>
      <c r="AD871" s="1"/>
      <c r="AE871" s="1" t="s">
        <v>3756</v>
      </c>
      <c r="AF871" s="1" t="s">
        <v>9</v>
      </c>
      <c r="AG871" s="4">
        <v>3</v>
      </c>
      <c r="AH871" s="1"/>
      <c r="AI871" s="6">
        <v>44835</v>
      </c>
    </row>
    <row r="872" spans="1:35" x14ac:dyDescent="0.3">
      <c r="A872" s="1" t="s">
        <v>1875</v>
      </c>
      <c r="B872" s="2" t="str">
        <f>HYPERLINK("https://my.zakupki.prom.ua/remote/dispatcher/state_purchase_view/34679701")</f>
        <v>https://my.zakupki.prom.ua/remote/dispatcher/state_purchase_view/34679701</v>
      </c>
      <c r="C872" s="1" t="s">
        <v>3911</v>
      </c>
      <c r="D872" s="1" t="s">
        <v>523</v>
      </c>
      <c r="E872" s="1" t="s">
        <v>4903</v>
      </c>
      <c r="F872" s="1" t="s">
        <v>4903</v>
      </c>
      <c r="G872" s="1" t="s">
        <v>4903</v>
      </c>
      <c r="H872" s="1" t="s">
        <v>1073</v>
      </c>
      <c r="I872" s="1" t="s">
        <v>3453</v>
      </c>
      <c r="J872" s="5">
        <v>198290</v>
      </c>
      <c r="K872" s="1" t="s">
        <v>3394</v>
      </c>
      <c r="L872" s="5">
        <v>991.45</v>
      </c>
      <c r="M872" s="1" t="s">
        <v>2308</v>
      </c>
      <c r="N872" s="1" t="s">
        <v>3983</v>
      </c>
      <c r="O872" s="1" t="s">
        <v>2521</v>
      </c>
      <c r="P872" s="1" t="s">
        <v>3956</v>
      </c>
      <c r="Q872" s="1" t="s">
        <v>4911</v>
      </c>
      <c r="R872" s="1" t="s">
        <v>4373</v>
      </c>
      <c r="S872" s="1" t="s">
        <v>4937</v>
      </c>
      <c r="T872" s="6">
        <v>44593</v>
      </c>
      <c r="U872" s="6">
        <v>44599</v>
      </c>
      <c r="V872" s="7">
        <v>0.41666666666666669</v>
      </c>
      <c r="W872" s="6">
        <v>44602</v>
      </c>
      <c r="X872" s="7">
        <v>0</v>
      </c>
      <c r="Y872" s="1" t="s">
        <v>4860</v>
      </c>
      <c r="Z872" s="5">
        <v>340</v>
      </c>
      <c r="AA872" s="1" t="s">
        <v>3403</v>
      </c>
      <c r="AB872" s="1"/>
      <c r="AC872" s="1"/>
      <c r="AD872" s="1"/>
      <c r="AE872" s="1" t="s">
        <v>3768</v>
      </c>
      <c r="AF872" s="1" t="s">
        <v>9</v>
      </c>
      <c r="AG872" s="1" t="s">
        <v>9</v>
      </c>
      <c r="AH872" s="1"/>
      <c r="AI872" s="6">
        <v>44926</v>
      </c>
    </row>
    <row r="873" spans="1:35" x14ac:dyDescent="0.3">
      <c r="A873" s="1" t="s">
        <v>1543</v>
      </c>
      <c r="B873" s="2" t="str">
        <f>HYPERLINK("https://my.zakupki.prom.ua/remote/dispatcher/state_purchase_view/34681838")</f>
        <v>https://my.zakupki.prom.ua/remote/dispatcher/state_purchase_view/34681838</v>
      </c>
      <c r="C873" s="1" t="s">
        <v>3416</v>
      </c>
      <c r="D873" s="1" t="s">
        <v>217</v>
      </c>
      <c r="E873" s="1" t="s">
        <v>4903</v>
      </c>
      <c r="F873" s="1" t="s">
        <v>4903</v>
      </c>
      <c r="G873" s="1" t="s">
        <v>4903</v>
      </c>
      <c r="H873" s="1" t="s">
        <v>671</v>
      </c>
      <c r="I873" s="1" t="s">
        <v>2959</v>
      </c>
      <c r="J873" s="5">
        <v>44700</v>
      </c>
      <c r="K873" s="1" t="s">
        <v>3394</v>
      </c>
      <c r="L873" s="5">
        <v>223.5</v>
      </c>
      <c r="M873" s="1" t="s">
        <v>2308</v>
      </c>
      <c r="N873" s="1" t="s">
        <v>3983</v>
      </c>
      <c r="O873" s="1" t="s">
        <v>2521</v>
      </c>
      <c r="P873" s="1" t="s">
        <v>3956</v>
      </c>
      <c r="Q873" s="1" t="s">
        <v>2528</v>
      </c>
      <c r="R873" s="1" t="s">
        <v>4526</v>
      </c>
      <c r="S873" s="1" t="s">
        <v>4937</v>
      </c>
      <c r="T873" s="6">
        <v>44593</v>
      </c>
      <c r="U873" s="6">
        <v>44599</v>
      </c>
      <c r="V873" s="7">
        <v>0.5</v>
      </c>
      <c r="W873" s="6">
        <v>44602</v>
      </c>
      <c r="X873" s="7">
        <v>0.66666666666666663</v>
      </c>
      <c r="Y873" s="1" t="s">
        <v>4860</v>
      </c>
      <c r="Z873" s="5">
        <v>119</v>
      </c>
      <c r="AA873" s="1" t="s">
        <v>3403</v>
      </c>
      <c r="AB873" s="1"/>
      <c r="AC873" s="1"/>
      <c r="AD873" s="1"/>
      <c r="AE873" s="1" t="s">
        <v>3788</v>
      </c>
      <c r="AF873" s="1" t="s">
        <v>9</v>
      </c>
      <c r="AG873" s="4">
        <v>1</v>
      </c>
      <c r="AH873" s="1"/>
      <c r="AI873" s="6">
        <v>44926</v>
      </c>
    </row>
    <row r="874" spans="1:35" x14ac:dyDescent="0.3">
      <c r="A874" s="1" t="s">
        <v>1344</v>
      </c>
      <c r="B874" s="2" t="str">
        <f>HYPERLINK("https://my.zakupki.prom.ua/remote/dispatcher/state_purchase_view/34681716")</f>
        <v>https://my.zakupki.prom.ua/remote/dispatcher/state_purchase_view/34681716</v>
      </c>
      <c r="C874" s="1" t="s">
        <v>2373</v>
      </c>
      <c r="D874" s="1" t="s">
        <v>823</v>
      </c>
      <c r="E874" s="4">
        <v>1</v>
      </c>
      <c r="F874" s="5">
        <v>2400000</v>
      </c>
      <c r="G874" s="1" t="s">
        <v>4989</v>
      </c>
      <c r="H874" s="1" t="s">
        <v>985</v>
      </c>
      <c r="I874" s="1" t="s">
        <v>2988</v>
      </c>
      <c r="J874" s="5">
        <v>2400000</v>
      </c>
      <c r="K874" s="1" t="s">
        <v>3394</v>
      </c>
      <c r="L874" s="5">
        <v>12000</v>
      </c>
      <c r="M874" s="1" t="s">
        <v>2308</v>
      </c>
      <c r="N874" s="1" t="s">
        <v>3983</v>
      </c>
      <c r="O874" s="1" t="s">
        <v>2521</v>
      </c>
      <c r="P874" s="1" t="s">
        <v>2515</v>
      </c>
      <c r="Q874" s="1" t="s">
        <v>3035</v>
      </c>
      <c r="R874" s="1" t="s">
        <v>4415</v>
      </c>
      <c r="S874" s="1" t="s">
        <v>4971</v>
      </c>
      <c r="T874" s="6">
        <v>44593</v>
      </c>
      <c r="U874" s="6">
        <v>44593</v>
      </c>
      <c r="V874" s="7">
        <v>0.47662334673611112</v>
      </c>
      <c r="W874" s="6">
        <v>44610</v>
      </c>
      <c r="X874" s="7">
        <v>0.5</v>
      </c>
      <c r="Y874" s="8">
        <v>44613.560856481483</v>
      </c>
      <c r="Z874" s="5">
        <v>1700</v>
      </c>
      <c r="AA874" s="1" t="s">
        <v>3403</v>
      </c>
      <c r="AB874" s="1"/>
      <c r="AC874" s="1"/>
      <c r="AD874" s="1"/>
      <c r="AE874" s="1" t="s">
        <v>3775</v>
      </c>
      <c r="AF874" s="1" t="s">
        <v>9</v>
      </c>
      <c r="AG874" s="4">
        <v>5</v>
      </c>
      <c r="AH874" s="1"/>
      <c r="AI874" s="6">
        <v>44926</v>
      </c>
    </row>
    <row r="875" spans="1:35" x14ac:dyDescent="0.3">
      <c r="A875" s="1" t="s">
        <v>1539</v>
      </c>
      <c r="B875" s="2" t="str">
        <f>HYPERLINK("https://my.zakupki.prom.ua/remote/dispatcher/state_purchase_view/34681713")</f>
        <v>https://my.zakupki.prom.ua/remote/dispatcher/state_purchase_view/34681713</v>
      </c>
      <c r="C875" s="1" t="s">
        <v>2605</v>
      </c>
      <c r="D875" s="1" t="s">
        <v>209</v>
      </c>
      <c r="E875" s="4">
        <v>24428</v>
      </c>
      <c r="F875" s="5">
        <v>14</v>
      </c>
      <c r="G875" s="1" t="s">
        <v>4902</v>
      </c>
      <c r="H875" s="1" t="s">
        <v>757</v>
      </c>
      <c r="I875" s="1" t="s">
        <v>4750</v>
      </c>
      <c r="J875" s="5">
        <v>342000</v>
      </c>
      <c r="K875" s="1" t="s">
        <v>3394</v>
      </c>
      <c r="L875" s="5">
        <v>1710</v>
      </c>
      <c r="M875" s="1" t="s">
        <v>2308</v>
      </c>
      <c r="N875" s="1" t="s">
        <v>3983</v>
      </c>
      <c r="O875" s="1" t="s">
        <v>2521</v>
      </c>
      <c r="P875" s="1" t="s">
        <v>2515</v>
      </c>
      <c r="Q875" s="1" t="s">
        <v>2796</v>
      </c>
      <c r="R875" s="1" t="s">
        <v>4701</v>
      </c>
      <c r="S875" s="1" t="s">
        <v>4971</v>
      </c>
      <c r="T875" s="6">
        <v>44593</v>
      </c>
      <c r="U875" s="6">
        <v>44593</v>
      </c>
      <c r="V875" s="7">
        <v>0.47826928039351851</v>
      </c>
      <c r="W875" s="6">
        <v>44609</v>
      </c>
      <c r="X875" s="7">
        <v>0</v>
      </c>
      <c r="Y875" s="8">
        <v>44609.519189814811</v>
      </c>
      <c r="Z875" s="5">
        <v>510</v>
      </c>
      <c r="AA875" s="1" t="s">
        <v>3403</v>
      </c>
      <c r="AB875" s="1"/>
      <c r="AC875" s="1"/>
      <c r="AD875" s="1"/>
      <c r="AE875" s="1" t="s">
        <v>3765</v>
      </c>
      <c r="AF875" s="1" t="s">
        <v>9</v>
      </c>
      <c r="AG875" s="4">
        <v>4</v>
      </c>
      <c r="AH875" s="1"/>
      <c r="AI875" s="6">
        <v>44926</v>
      </c>
    </row>
    <row r="876" spans="1:35" x14ac:dyDescent="0.3">
      <c r="A876" s="1" t="s">
        <v>1531</v>
      </c>
      <c r="B876" s="2" t="str">
        <f>HYPERLINK("https://my.zakupki.prom.ua/remote/dispatcher/state_purchase_view/34681661")</f>
        <v>https://my.zakupki.prom.ua/remote/dispatcher/state_purchase_view/34681661</v>
      </c>
      <c r="C876" s="1" t="s">
        <v>2551</v>
      </c>
      <c r="D876" s="1" t="s">
        <v>208</v>
      </c>
      <c r="E876" s="1" t="s">
        <v>4903</v>
      </c>
      <c r="F876" s="1" t="s">
        <v>4903</v>
      </c>
      <c r="G876" s="1" t="s">
        <v>4903</v>
      </c>
      <c r="H876" s="1" t="s">
        <v>1088</v>
      </c>
      <c r="I876" s="1" t="s">
        <v>2431</v>
      </c>
      <c r="J876" s="5">
        <v>502950</v>
      </c>
      <c r="K876" s="1" t="s">
        <v>3394</v>
      </c>
      <c r="L876" s="5">
        <v>2514.75</v>
      </c>
      <c r="M876" s="1" t="s">
        <v>2308</v>
      </c>
      <c r="N876" s="1" t="s">
        <v>3983</v>
      </c>
      <c r="O876" s="1" t="s">
        <v>2521</v>
      </c>
      <c r="P876" s="1" t="s">
        <v>2515</v>
      </c>
      <c r="Q876" s="1" t="s">
        <v>3035</v>
      </c>
      <c r="R876" s="1" t="s">
        <v>4616</v>
      </c>
      <c r="S876" s="1" t="s">
        <v>4971</v>
      </c>
      <c r="T876" s="6">
        <v>44593</v>
      </c>
      <c r="U876" s="6">
        <v>44593</v>
      </c>
      <c r="V876" s="7">
        <v>0.47653356009259257</v>
      </c>
      <c r="W876" s="6">
        <v>44609</v>
      </c>
      <c r="X876" s="7">
        <v>0</v>
      </c>
      <c r="Y876" s="8">
        <v>44609.497141203705</v>
      </c>
      <c r="Z876" s="5">
        <v>510</v>
      </c>
      <c r="AA876" s="1" t="s">
        <v>3403</v>
      </c>
      <c r="AB876" s="1"/>
      <c r="AC876" s="1"/>
      <c r="AD876" s="1"/>
      <c r="AE876" s="1" t="s">
        <v>3789</v>
      </c>
      <c r="AF876" s="1" t="s">
        <v>9</v>
      </c>
      <c r="AG876" s="4">
        <v>1</v>
      </c>
      <c r="AH876" s="1"/>
      <c r="AI876" s="6">
        <v>44926</v>
      </c>
    </row>
    <row r="877" spans="1:35" x14ac:dyDescent="0.3">
      <c r="A877" s="1" t="s">
        <v>1865</v>
      </c>
      <c r="B877" s="2" t="str">
        <f>HYPERLINK("https://my.zakupki.prom.ua/remote/dispatcher/state_purchase_view/34675331")</f>
        <v>https://my.zakupki.prom.ua/remote/dispatcher/state_purchase_view/34675331</v>
      </c>
      <c r="C877" s="1" t="s">
        <v>3018</v>
      </c>
      <c r="D877" s="1" t="s">
        <v>1144</v>
      </c>
      <c r="E877" s="4">
        <v>1</v>
      </c>
      <c r="F877" s="5">
        <v>5287693.2</v>
      </c>
      <c r="G877" s="1" t="s">
        <v>4976</v>
      </c>
      <c r="H877" s="1" t="s">
        <v>1085</v>
      </c>
      <c r="I877" s="1" t="s">
        <v>2462</v>
      </c>
      <c r="J877" s="5">
        <v>5287693.2</v>
      </c>
      <c r="K877" s="1" t="s">
        <v>3394</v>
      </c>
      <c r="L877" s="5">
        <v>30000</v>
      </c>
      <c r="M877" s="1" t="s">
        <v>2308</v>
      </c>
      <c r="N877" s="1" t="s">
        <v>3983</v>
      </c>
      <c r="O877" s="1" t="s">
        <v>635</v>
      </c>
      <c r="P877" s="1" t="s">
        <v>2515</v>
      </c>
      <c r="Q877" s="1" t="s">
        <v>2761</v>
      </c>
      <c r="R877" s="1" t="s">
        <v>4371</v>
      </c>
      <c r="S877" s="1" t="s">
        <v>4971</v>
      </c>
      <c r="T877" s="6">
        <v>44593</v>
      </c>
      <c r="U877" s="6">
        <v>44593</v>
      </c>
      <c r="V877" s="7">
        <v>0.47937853243055562</v>
      </c>
      <c r="W877" s="6">
        <v>44609</v>
      </c>
      <c r="X877" s="7">
        <v>0.375</v>
      </c>
      <c r="Y877" s="8">
        <v>44610.51153935185</v>
      </c>
      <c r="Z877" s="5">
        <v>3400</v>
      </c>
      <c r="AA877" s="1" t="s">
        <v>3403</v>
      </c>
      <c r="AB877" s="1"/>
      <c r="AC877" s="1"/>
      <c r="AD877" s="1"/>
      <c r="AE877" s="1" t="s">
        <v>3710</v>
      </c>
      <c r="AF877" s="1" t="s">
        <v>9</v>
      </c>
      <c r="AG877" s="1" t="s">
        <v>9</v>
      </c>
      <c r="AH877" s="1"/>
      <c r="AI877" s="6">
        <v>44793</v>
      </c>
    </row>
    <row r="878" spans="1:35" x14ac:dyDescent="0.3">
      <c r="A878" s="1" t="s">
        <v>1533</v>
      </c>
      <c r="B878" s="2" t="str">
        <f>HYPERLINK("https://my.zakupki.prom.ua/remote/dispatcher/state_purchase_view/34681548")</f>
        <v>https://my.zakupki.prom.ua/remote/dispatcher/state_purchase_view/34681548</v>
      </c>
      <c r="C878" s="1" t="s">
        <v>2324</v>
      </c>
      <c r="D878" s="1" t="s">
        <v>1263</v>
      </c>
      <c r="E878" s="4">
        <v>2976</v>
      </c>
      <c r="F878" s="5">
        <v>321.35000000000002</v>
      </c>
      <c r="G878" s="1" t="s">
        <v>4940</v>
      </c>
      <c r="H878" s="1" t="s">
        <v>986</v>
      </c>
      <c r="I878" s="1" t="s">
        <v>2730</v>
      </c>
      <c r="J878" s="5">
        <v>956344.81</v>
      </c>
      <c r="K878" s="1" t="s">
        <v>3394</v>
      </c>
      <c r="L878" s="5">
        <v>4781.72</v>
      </c>
      <c r="M878" s="1" t="s">
        <v>2308</v>
      </c>
      <c r="N878" s="1" t="s">
        <v>3983</v>
      </c>
      <c r="O878" s="1" t="s">
        <v>2521</v>
      </c>
      <c r="P878" s="1" t="s">
        <v>2516</v>
      </c>
      <c r="Q878" s="1" t="s">
        <v>4911</v>
      </c>
      <c r="R878" s="1" t="s">
        <v>4081</v>
      </c>
      <c r="S878" s="1" t="s">
        <v>4971</v>
      </c>
      <c r="T878" s="6">
        <v>44593</v>
      </c>
      <c r="U878" s="6">
        <v>44593</v>
      </c>
      <c r="V878" s="7">
        <v>0.47719375322916668</v>
      </c>
      <c r="W878" s="6">
        <v>44624</v>
      </c>
      <c r="X878" s="7">
        <v>0</v>
      </c>
      <c r="Y878" s="8">
        <v>44659.55609953704</v>
      </c>
      <c r="Z878" s="5">
        <v>510</v>
      </c>
      <c r="AA878" s="1" t="s">
        <v>3403</v>
      </c>
      <c r="AB878" s="1"/>
      <c r="AC878" s="1"/>
      <c r="AD878" s="1"/>
      <c r="AE878" s="1" t="s">
        <v>3754</v>
      </c>
      <c r="AF878" s="1" t="s">
        <v>9</v>
      </c>
      <c r="AG878" s="4">
        <v>28</v>
      </c>
      <c r="AH878" s="1"/>
      <c r="AI878" s="6">
        <v>44926</v>
      </c>
    </row>
    <row r="879" spans="1:35" x14ac:dyDescent="0.3">
      <c r="A879" s="1" t="s">
        <v>1863</v>
      </c>
      <c r="B879" s="2" t="str">
        <f>HYPERLINK("https://my.zakupki.prom.ua/remote/dispatcher/state_purchase_view/34681510")</f>
        <v>https://my.zakupki.prom.ua/remote/dispatcher/state_purchase_view/34681510</v>
      </c>
      <c r="C879" s="1" t="s">
        <v>2652</v>
      </c>
      <c r="D879" s="1" t="s">
        <v>801</v>
      </c>
      <c r="E879" s="4">
        <v>44</v>
      </c>
      <c r="F879" s="5">
        <v>168409.09</v>
      </c>
      <c r="G879" s="1" t="s">
        <v>4924</v>
      </c>
      <c r="H879" s="1" t="s">
        <v>28</v>
      </c>
      <c r="I879" s="1" t="s">
        <v>2744</v>
      </c>
      <c r="J879" s="5">
        <v>7410000</v>
      </c>
      <c r="K879" s="1" t="s">
        <v>3394</v>
      </c>
      <c r="L879" s="5">
        <v>222300</v>
      </c>
      <c r="M879" s="1" t="s">
        <v>2308</v>
      </c>
      <c r="N879" s="1" t="s">
        <v>3983</v>
      </c>
      <c r="O879" s="1" t="s">
        <v>2521</v>
      </c>
      <c r="P879" s="1" t="s">
        <v>2516</v>
      </c>
      <c r="Q879" s="1" t="s">
        <v>4911</v>
      </c>
      <c r="R879" s="1" t="s">
        <v>4096</v>
      </c>
      <c r="S879" s="1" t="s">
        <v>4971</v>
      </c>
      <c r="T879" s="6">
        <v>44593</v>
      </c>
      <c r="U879" s="6">
        <v>44593</v>
      </c>
      <c r="V879" s="7">
        <v>0.47866665818287041</v>
      </c>
      <c r="W879" s="6">
        <v>44624</v>
      </c>
      <c r="X879" s="7">
        <v>0</v>
      </c>
      <c r="Y879" s="8">
        <v>44659.573599537034</v>
      </c>
      <c r="Z879" s="5">
        <v>3400</v>
      </c>
      <c r="AA879" s="1" t="s">
        <v>3403</v>
      </c>
      <c r="AB879" s="1"/>
      <c r="AC879" s="1"/>
      <c r="AD879" s="1"/>
      <c r="AE879" s="1" t="s">
        <v>3765</v>
      </c>
      <c r="AF879" s="1" t="s">
        <v>9</v>
      </c>
      <c r="AG879" s="4">
        <v>5</v>
      </c>
      <c r="AH879" s="1"/>
      <c r="AI879" s="6">
        <v>44918</v>
      </c>
    </row>
    <row r="880" spans="1:35" x14ac:dyDescent="0.3">
      <c r="A880" s="1" t="s">
        <v>1860</v>
      </c>
      <c r="B880" s="2" t="str">
        <f>HYPERLINK("https://my.zakupki.prom.ua/remote/dispatcher/state_purchase_view/34681502")</f>
        <v>https://my.zakupki.prom.ua/remote/dispatcher/state_purchase_view/34681502</v>
      </c>
      <c r="C880" s="1" t="s">
        <v>3642</v>
      </c>
      <c r="D880" s="1" t="s">
        <v>1144</v>
      </c>
      <c r="E880" s="4">
        <v>1</v>
      </c>
      <c r="F880" s="5">
        <v>260000</v>
      </c>
      <c r="G880" s="1" t="s">
        <v>4940</v>
      </c>
      <c r="H880" s="1" t="s">
        <v>310</v>
      </c>
      <c r="I880" s="1" t="s">
        <v>2455</v>
      </c>
      <c r="J880" s="5">
        <v>260000</v>
      </c>
      <c r="K880" s="1" t="s">
        <v>3394</v>
      </c>
      <c r="L880" s="5">
        <v>2600</v>
      </c>
      <c r="M880" s="1" t="s">
        <v>2308</v>
      </c>
      <c r="N880" s="1" t="s">
        <v>3983</v>
      </c>
      <c r="O880" s="1" t="s">
        <v>2521</v>
      </c>
      <c r="P880" s="1" t="s">
        <v>2515</v>
      </c>
      <c r="Q880" s="1" t="s">
        <v>4831</v>
      </c>
      <c r="R880" s="1" t="s">
        <v>4200</v>
      </c>
      <c r="S880" s="1" t="s">
        <v>4971</v>
      </c>
      <c r="T880" s="6">
        <v>44593</v>
      </c>
      <c r="U880" s="6">
        <v>44593</v>
      </c>
      <c r="V880" s="7">
        <v>0.47857638957175924</v>
      </c>
      <c r="W880" s="6">
        <v>44609</v>
      </c>
      <c r="X880" s="7">
        <v>0</v>
      </c>
      <c r="Y880" s="8">
        <v>44609.555046296293</v>
      </c>
      <c r="Z880" s="5">
        <v>510</v>
      </c>
      <c r="AA880" s="1" t="s">
        <v>3403</v>
      </c>
      <c r="AB880" s="1"/>
      <c r="AC880" s="1"/>
      <c r="AD880" s="1"/>
      <c r="AE880" s="1" t="s">
        <v>3727</v>
      </c>
      <c r="AF880" s="1" t="s">
        <v>9</v>
      </c>
      <c r="AG880" s="1" t="s">
        <v>9</v>
      </c>
      <c r="AH880" s="6">
        <v>44620</v>
      </c>
      <c r="AI880" s="6">
        <v>44926</v>
      </c>
    </row>
    <row r="881" spans="1:35" x14ac:dyDescent="0.3">
      <c r="A881" s="1" t="s">
        <v>1855</v>
      </c>
      <c r="B881" s="2" t="str">
        <f>HYPERLINK("https://my.zakupki.prom.ua/remote/dispatcher/state_purchase_view/34681466")</f>
        <v>https://my.zakupki.prom.ua/remote/dispatcher/state_purchase_view/34681466</v>
      </c>
      <c r="C881" s="1" t="s">
        <v>3051</v>
      </c>
      <c r="D881" s="1" t="s">
        <v>387</v>
      </c>
      <c r="E881" s="4">
        <v>37000</v>
      </c>
      <c r="F881" s="5">
        <v>5</v>
      </c>
      <c r="G881" s="1" t="s">
        <v>3235</v>
      </c>
      <c r="H881" s="1" t="s">
        <v>206</v>
      </c>
      <c r="I881" s="1" t="s">
        <v>2531</v>
      </c>
      <c r="J881" s="5">
        <v>185000</v>
      </c>
      <c r="K881" s="1" t="s">
        <v>3394</v>
      </c>
      <c r="L881" s="5">
        <v>1850</v>
      </c>
      <c r="M881" s="1" t="s">
        <v>2308</v>
      </c>
      <c r="N881" s="1" t="s">
        <v>3403</v>
      </c>
      <c r="O881" s="1" t="s">
        <v>2521</v>
      </c>
      <c r="P881" s="1" t="s">
        <v>3956</v>
      </c>
      <c r="Q881" s="1" t="s">
        <v>3238</v>
      </c>
      <c r="R881" s="1" t="s">
        <v>4366</v>
      </c>
      <c r="S881" s="1" t="s">
        <v>4937</v>
      </c>
      <c r="T881" s="6">
        <v>44593</v>
      </c>
      <c r="U881" s="6">
        <v>44599</v>
      </c>
      <c r="V881" s="7">
        <v>0.47083333333333333</v>
      </c>
      <c r="W881" s="6">
        <v>44603</v>
      </c>
      <c r="X881" s="7">
        <v>0.47222222222222221</v>
      </c>
      <c r="Y881" s="1" t="s">
        <v>4860</v>
      </c>
      <c r="Z881" s="5">
        <v>340</v>
      </c>
      <c r="AA881" s="1" t="s">
        <v>3403</v>
      </c>
      <c r="AB881" s="1"/>
      <c r="AC881" s="1"/>
      <c r="AD881" s="1"/>
      <c r="AE881" s="1" t="s">
        <v>3768</v>
      </c>
      <c r="AF881" s="1" t="s">
        <v>9</v>
      </c>
      <c r="AG881" s="1" t="s">
        <v>9</v>
      </c>
      <c r="AH881" s="6">
        <v>44593</v>
      </c>
      <c r="AI881" s="6">
        <v>44926</v>
      </c>
    </row>
    <row r="882" spans="1:35" x14ac:dyDescent="0.3">
      <c r="A882" s="1" t="s">
        <v>1854</v>
      </c>
      <c r="B882" s="2" t="str">
        <f>HYPERLINK("https://my.zakupki.prom.ua/remote/dispatcher/state_purchase_view/34681461")</f>
        <v>https://my.zakupki.prom.ua/remote/dispatcher/state_purchase_view/34681461</v>
      </c>
      <c r="C882" s="1" t="s">
        <v>2682</v>
      </c>
      <c r="D882" s="1" t="s">
        <v>1287</v>
      </c>
      <c r="E882" s="4">
        <v>1</v>
      </c>
      <c r="F882" s="5">
        <v>19999000</v>
      </c>
      <c r="G882" s="1" t="s">
        <v>4940</v>
      </c>
      <c r="H882" s="1" t="s">
        <v>845</v>
      </c>
      <c r="I882" s="1" t="s">
        <v>3348</v>
      </c>
      <c r="J882" s="5">
        <v>19999000</v>
      </c>
      <c r="K882" s="1" t="s">
        <v>3394</v>
      </c>
      <c r="L882" s="5">
        <v>99995</v>
      </c>
      <c r="M882" s="1" t="s">
        <v>2308</v>
      </c>
      <c r="N882" s="1" t="s">
        <v>3983</v>
      </c>
      <c r="O882" s="1" t="s">
        <v>2521</v>
      </c>
      <c r="P882" s="1" t="s">
        <v>2516</v>
      </c>
      <c r="Q882" s="1" t="s">
        <v>2808</v>
      </c>
      <c r="R882" s="1" t="s">
        <v>4081</v>
      </c>
      <c r="S882" s="1" t="s">
        <v>4971</v>
      </c>
      <c r="T882" s="6">
        <v>44593</v>
      </c>
      <c r="U882" s="6">
        <v>44593</v>
      </c>
      <c r="V882" s="7">
        <v>0.4779238366666666</v>
      </c>
      <c r="W882" s="6">
        <v>44624</v>
      </c>
      <c r="X882" s="7">
        <v>0</v>
      </c>
      <c r="Y882" s="8">
        <v>44659.596805555557</v>
      </c>
      <c r="Z882" s="5">
        <v>3400</v>
      </c>
      <c r="AA882" s="1" t="s">
        <v>3403</v>
      </c>
      <c r="AB882" s="1"/>
      <c r="AC882" s="1"/>
      <c r="AD882" s="1"/>
      <c r="AE882" s="1" t="s">
        <v>3736</v>
      </c>
      <c r="AF882" s="1" t="s">
        <v>9</v>
      </c>
      <c r="AG882" s="4">
        <v>9</v>
      </c>
      <c r="AH882" s="1"/>
      <c r="AI882" s="6">
        <v>44926</v>
      </c>
    </row>
    <row r="883" spans="1:35" x14ac:dyDescent="0.3">
      <c r="A883" s="1" t="s">
        <v>1848</v>
      </c>
      <c r="B883" s="2" t="str">
        <f>HYPERLINK("https://my.zakupki.prom.ua/remote/dispatcher/state_purchase_view/34681416")</f>
        <v>https://my.zakupki.prom.ua/remote/dispatcher/state_purchase_view/34681416</v>
      </c>
      <c r="C883" s="1" t="s">
        <v>3579</v>
      </c>
      <c r="D883" s="1" t="s">
        <v>1222</v>
      </c>
      <c r="E883" s="4">
        <v>1</v>
      </c>
      <c r="F883" s="5">
        <v>195805.2</v>
      </c>
      <c r="G883" s="1" t="s">
        <v>4939</v>
      </c>
      <c r="H883" s="1" t="s">
        <v>647</v>
      </c>
      <c r="I883" s="1" t="s">
        <v>2933</v>
      </c>
      <c r="J883" s="5">
        <v>195805.2</v>
      </c>
      <c r="K883" s="1" t="s">
        <v>3394</v>
      </c>
      <c r="L883" s="5">
        <v>979.03</v>
      </c>
      <c r="M883" s="1" t="s">
        <v>2308</v>
      </c>
      <c r="N883" s="1" t="s">
        <v>3983</v>
      </c>
      <c r="O883" s="1" t="s">
        <v>1299</v>
      </c>
      <c r="P883" s="1" t="s">
        <v>3956</v>
      </c>
      <c r="Q883" s="1" t="s">
        <v>3035</v>
      </c>
      <c r="R883" s="1" t="s">
        <v>4081</v>
      </c>
      <c r="S883" s="1" t="s">
        <v>4937</v>
      </c>
      <c r="T883" s="6">
        <v>44593</v>
      </c>
      <c r="U883" s="6">
        <v>44597</v>
      </c>
      <c r="V883" s="7">
        <v>0.5</v>
      </c>
      <c r="W883" s="6">
        <v>44602</v>
      </c>
      <c r="X883" s="7">
        <v>0.5</v>
      </c>
      <c r="Y883" s="1" t="s">
        <v>4860</v>
      </c>
      <c r="Z883" s="5">
        <v>340</v>
      </c>
      <c r="AA883" s="1" t="s">
        <v>3403</v>
      </c>
      <c r="AB883" s="1"/>
      <c r="AC883" s="1"/>
      <c r="AD883" s="1"/>
      <c r="AE883" s="1" t="s">
        <v>3756</v>
      </c>
      <c r="AF883" s="1" t="s">
        <v>9</v>
      </c>
      <c r="AG883" s="4">
        <v>6</v>
      </c>
      <c r="AH883" s="6">
        <v>44607</v>
      </c>
      <c r="AI883" s="6">
        <v>44926</v>
      </c>
    </row>
    <row r="884" spans="1:35" x14ac:dyDescent="0.3">
      <c r="A884" s="1" t="s">
        <v>1494</v>
      </c>
      <c r="B884" s="2" t="str">
        <f>HYPERLINK("https://my.zakupki.prom.ua/remote/dispatcher/state_purchase_view/34681410")</f>
        <v>https://my.zakupki.prom.ua/remote/dispatcher/state_purchase_view/34681410</v>
      </c>
      <c r="C884" s="1" t="s">
        <v>3837</v>
      </c>
      <c r="D884" s="1" t="s">
        <v>1137</v>
      </c>
      <c r="E884" s="4">
        <v>1</v>
      </c>
      <c r="F884" s="5">
        <v>22347247</v>
      </c>
      <c r="G884" s="1" t="s">
        <v>4896</v>
      </c>
      <c r="H884" s="1" t="s">
        <v>21</v>
      </c>
      <c r="I884" s="1" t="s">
        <v>3467</v>
      </c>
      <c r="J884" s="5">
        <v>22347247</v>
      </c>
      <c r="K884" s="1" t="s">
        <v>3394</v>
      </c>
      <c r="L884" s="5">
        <v>223472.47</v>
      </c>
      <c r="M884" s="1" t="s">
        <v>2308</v>
      </c>
      <c r="N884" s="1" t="s">
        <v>3983</v>
      </c>
      <c r="O884" s="1" t="s">
        <v>394</v>
      </c>
      <c r="P884" s="1" t="s">
        <v>2515</v>
      </c>
      <c r="Q884" s="1" t="s">
        <v>3264</v>
      </c>
      <c r="R884" s="1" t="s">
        <v>4081</v>
      </c>
      <c r="S884" s="1" t="s">
        <v>4971</v>
      </c>
      <c r="T884" s="6">
        <v>44593</v>
      </c>
      <c r="U884" s="6">
        <v>44593</v>
      </c>
      <c r="V884" s="7">
        <v>0.46937709614583328</v>
      </c>
      <c r="W884" s="6">
        <v>44609</v>
      </c>
      <c r="X884" s="7">
        <v>0.41666666666666669</v>
      </c>
      <c r="Y884" s="8">
        <v>44610.496481481481</v>
      </c>
      <c r="Z884" s="5">
        <v>3400</v>
      </c>
      <c r="AA884" s="1" t="s">
        <v>3403</v>
      </c>
      <c r="AB884" s="1"/>
      <c r="AC884" s="1"/>
      <c r="AD884" s="1"/>
      <c r="AE884" s="1" t="s">
        <v>3720</v>
      </c>
      <c r="AF884" s="1" t="s">
        <v>9</v>
      </c>
      <c r="AG884" s="4">
        <v>40</v>
      </c>
      <c r="AH884" s="1"/>
      <c r="AI884" s="6">
        <v>44926</v>
      </c>
    </row>
    <row r="885" spans="1:35" x14ac:dyDescent="0.3">
      <c r="A885" s="1" t="s">
        <v>1847</v>
      </c>
      <c r="B885" s="2" t="str">
        <f>HYPERLINK("https://my.zakupki.prom.ua/remote/dispatcher/state_purchase_view/34681407")</f>
        <v>https://my.zakupki.prom.ua/remote/dispatcher/state_purchase_view/34681407</v>
      </c>
      <c r="C885" s="1" t="s">
        <v>3910</v>
      </c>
      <c r="D885" s="1" t="s">
        <v>729</v>
      </c>
      <c r="E885" s="1" t="s">
        <v>4903</v>
      </c>
      <c r="F885" s="1" t="s">
        <v>4903</v>
      </c>
      <c r="G885" s="1" t="s">
        <v>4903</v>
      </c>
      <c r="H885" s="1" t="s">
        <v>158</v>
      </c>
      <c r="I885" s="1" t="s">
        <v>2699</v>
      </c>
      <c r="J885" s="5">
        <v>51000</v>
      </c>
      <c r="K885" s="1" t="s">
        <v>3394</v>
      </c>
      <c r="L885" s="5">
        <v>255</v>
      </c>
      <c r="M885" s="1" t="s">
        <v>2308</v>
      </c>
      <c r="N885" s="1" t="s">
        <v>3983</v>
      </c>
      <c r="O885" s="1" t="s">
        <v>2521</v>
      </c>
      <c r="P885" s="1" t="s">
        <v>3956</v>
      </c>
      <c r="Q885" s="1" t="s">
        <v>2497</v>
      </c>
      <c r="R885" s="1" t="s">
        <v>4152</v>
      </c>
      <c r="S885" s="1" t="s">
        <v>4937</v>
      </c>
      <c r="T885" s="6">
        <v>44593</v>
      </c>
      <c r="U885" s="6">
        <v>44599</v>
      </c>
      <c r="V885" s="7">
        <v>0.47916666666666669</v>
      </c>
      <c r="W885" s="6">
        <v>44602</v>
      </c>
      <c r="X885" s="7">
        <v>0.47916666666666669</v>
      </c>
      <c r="Y885" s="1" t="s">
        <v>4860</v>
      </c>
      <c r="Z885" s="5">
        <v>340</v>
      </c>
      <c r="AA885" s="1" t="s">
        <v>3403</v>
      </c>
      <c r="AB885" s="1"/>
      <c r="AC885" s="1"/>
      <c r="AD885" s="1"/>
      <c r="AE885" s="1" t="s">
        <v>3768</v>
      </c>
      <c r="AF885" s="1" t="s">
        <v>9</v>
      </c>
      <c r="AG885" s="4">
        <v>3</v>
      </c>
      <c r="AH885" s="1"/>
      <c r="AI885" s="6">
        <v>44926</v>
      </c>
    </row>
    <row r="886" spans="1:35" x14ac:dyDescent="0.3">
      <c r="A886" s="1" t="s">
        <v>1339</v>
      </c>
      <c r="B886" s="2" t="str">
        <f>HYPERLINK("https://my.zakupki.prom.ua/remote/dispatcher/state_purchase_view/34681382")</f>
        <v>https://my.zakupki.prom.ua/remote/dispatcher/state_purchase_view/34681382</v>
      </c>
      <c r="C886" s="1" t="s">
        <v>3341</v>
      </c>
      <c r="D886" s="1" t="s">
        <v>480</v>
      </c>
      <c r="E886" s="1" t="s">
        <v>4903</v>
      </c>
      <c r="F886" s="1" t="s">
        <v>4903</v>
      </c>
      <c r="G886" s="1" t="s">
        <v>4903</v>
      </c>
      <c r="H886" s="1" t="s">
        <v>1069</v>
      </c>
      <c r="I886" s="1" t="s">
        <v>2510</v>
      </c>
      <c r="J886" s="5">
        <v>110000</v>
      </c>
      <c r="K886" s="1" t="s">
        <v>3394</v>
      </c>
      <c r="L886" s="5">
        <v>550</v>
      </c>
      <c r="M886" s="1" t="s">
        <v>2308</v>
      </c>
      <c r="N886" s="1" t="s">
        <v>3983</v>
      </c>
      <c r="O886" s="1" t="s">
        <v>2521</v>
      </c>
      <c r="P886" s="1" t="s">
        <v>3956</v>
      </c>
      <c r="Q886" s="1" t="s">
        <v>3426</v>
      </c>
      <c r="R886" s="1" t="s">
        <v>4435</v>
      </c>
      <c r="S886" s="1" t="s">
        <v>4937</v>
      </c>
      <c r="T886" s="6">
        <v>44593</v>
      </c>
      <c r="U886" s="6">
        <v>44599</v>
      </c>
      <c r="V886" s="7">
        <v>0.5</v>
      </c>
      <c r="W886" s="6">
        <v>44602</v>
      </c>
      <c r="X886" s="7">
        <v>0.5</v>
      </c>
      <c r="Y886" s="1" t="s">
        <v>4860</v>
      </c>
      <c r="Z886" s="5">
        <v>340</v>
      </c>
      <c r="AA886" s="1" t="s">
        <v>3403</v>
      </c>
      <c r="AB886" s="1"/>
      <c r="AC886" s="1"/>
      <c r="AD886" s="1"/>
      <c r="AE886" s="1" t="s">
        <v>3768</v>
      </c>
      <c r="AF886" s="1" t="s">
        <v>9</v>
      </c>
      <c r="AG886" s="1" t="s">
        <v>9</v>
      </c>
      <c r="AH886" s="1"/>
      <c r="AI886" s="6">
        <v>44926</v>
      </c>
    </row>
    <row r="887" spans="1:35" x14ac:dyDescent="0.3">
      <c r="A887" s="1" t="s">
        <v>1520</v>
      </c>
      <c r="B887" s="2" t="str">
        <f>HYPERLINK("https://my.zakupki.prom.ua/remote/dispatcher/state_purchase_view/34681381")</f>
        <v>https://my.zakupki.prom.ua/remote/dispatcher/state_purchase_view/34681381</v>
      </c>
      <c r="C887" s="1" t="s">
        <v>3953</v>
      </c>
      <c r="D887" s="1" t="s">
        <v>619</v>
      </c>
      <c r="E887" s="4">
        <v>1400</v>
      </c>
      <c r="F887" s="5">
        <v>40</v>
      </c>
      <c r="G887" s="1" t="s">
        <v>4904</v>
      </c>
      <c r="H887" s="1" t="s">
        <v>349</v>
      </c>
      <c r="I887" s="1" t="s">
        <v>2580</v>
      </c>
      <c r="J887" s="5">
        <v>56000</v>
      </c>
      <c r="K887" s="1" t="s">
        <v>3394</v>
      </c>
      <c r="L887" s="5">
        <v>560</v>
      </c>
      <c r="M887" s="1" t="s">
        <v>2308</v>
      </c>
      <c r="N887" s="1" t="s">
        <v>3403</v>
      </c>
      <c r="O887" s="1" t="s">
        <v>2521</v>
      </c>
      <c r="P887" s="1" t="s">
        <v>2762</v>
      </c>
      <c r="Q887" s="1" t="s">
        <v>3264</v>
      </c>
      <c r="R887" s="1" t="s">
        <v>4052</v>
      </c>
      <c r="S887" s="1" t="s">
        <v>4937</v>
      </c>
      <c r="T887" s="6">
        <v>44593</v>
      </c>
      <c r="U887" s="6">
        <v>44599</v>
      </c>
      <c r="V887" s="7">
        <v>0.5</v>
      </c>
      <c r="W887" s="6">
        <v>44602</v>
      </c>
      <c r="X887" s="7">
        <v>0.41666666666666669</v>
      </c>
      <c r="Y887" s="1" t="s">
        <v>4860</v>
      </c>
      <c r="Z887" s="5">
        <v>340</v>
      </c>
      <c r="AA887" s="1" t="s">
        <v>3403</v>
      </c>
      <c r="AB887" s="1"/>
      <c r="AC887" s="1"/>
      <c r="AD887" s="1"/>
      <c r="AE887" s="1" t="s">
        <v>3775</v>
      </c>
      <c r="AF887" s="1" t="s">
        <v>9</v>
      </c>
      <c r="AG887" s="1" t="s">
        <v>9</v>
      </c>
      <c r="AH887" s="1"/>
      <c r="AI887" s="1"/>
    </row>
    <row r="888" spans="1:35" x14ac:dyDescent="0.3">
      <c r="A888" s="1" t="s">
        <v>1527</v>
      </c>
      <c r="B888" s="2" t="str">
        <f>HYPERLINK("https://my.zakupki.prom.ua/remote/dispatcher/state_purchase_view/34681372")</f>
        <v>https://my.zakupki.prom.ua/remote/dispatcher/state_purchase_view/34681372</v>
      </c>
      <c r="C888" s="1" t="s">
        <v>3040</v>
      </c>
      <c r="D888" s="1" t="s">
        <v>847</v>
      </c>
      <c r="E888" s="4">
        <v>130</v>
      </c>
      <c r="F888" s="5">
        <v>43200</v>
      </c>
      <c r="G888" s="1" t="s">
        <v>4981</v>
      </c>
      <c r="H888" s="1" t="s">
        <v>972</v>
      </c>
      <c r="I888" s="1" t="s">
        <v>4759</v>
      </c>
      <c r="J888" s="5">
        <v>5616000</v>
      </c>
      <c r="K888" s="1" t="s">
        <v>3394</v>
      </c>
      <c r="L888" s="5">
        <v>28080</v>
      </c>
      <c r="M888" s="1" t="s">
        <v>2308</v>
      </c>
      <c r="N888" s="1" t="s">
        <v>3983</v>
      </c>
      <c r="O888" s="1" t="s">
        <v>1194</v>
      </c>
      <c r="P888" s="1" t="s">
        <v>2516</v>
      </c>
      <c r="Q888" s="1" t="s">
        <v>3035</v>
      </c>
      <c r="R888" s="1" t="s">
        <v>4081</v>
      </c>
      <c r="S888" s="1" t="s">
        <v>4971</v>
      </c>
      <c r="T888" s="6">
        <v>44593</v>
      </c>
      <c r="U888" s="6">
        <v>44593</v>
      </c>
      <c r="V888" s="7">
        <v>0.47726851851851854</v>
      </c>
      <c r="W888" s="6">
        <v>44624</v>
      </c>
      <c r="X888" s="7">
        <v>0.41666666666666669</v>
      </c>
      <c r="Y888" s="8">
        <v>44662.557210648149</v>
      </c>
      <c r="Z888" s="5">
        <v>3400</v>
      </c>
      <c r="AA888" s="1" t="s">
        <v>3403</v>
      </c>
      <c r="AB888" s="1"/>
      <c r="AC888" s="1"/>
      <c r="AD888" s="1"/>
      <c r="AE888" s="1" t="s">
        <v>3793</v>
      </c>
      <c r="AF888" s="1" t="s">
        <v>9</v>
      </c>
      <c r="AG888" s="4">
        <v>1638</v>
      </c>
      <c r="AH888" s="1"/>
      <c r="AI888" s="6">
        <v>44926</v>
      </c>
    </row>
    <row r="889" spans="1:35" x14ac:dyDescent="0.3">
      <c r="A889" s="1" t="s">
        <v>1363</v>
      </c>
      <c r="B889" s="2" t="str">
        <f>HYPERLINK("https://my.zakupki.prom.ua/remote/dispatcher/state_purchase_view/34681371")</f>
        <v>https://my.zakupki.prom.ua/remote/dispatcher/state_purchase_view/34681371</v>
      </c>
      <c r="C889" s="1" t="s">
        <v>4888</v>
      </c>
      <c r="D889" s="1" t="s">
        <v>387</v>
      </c>
      <c r="E889" s="4">
        <v>40688</v>
      </c>
      <c r="F889" s="5">
        <v>5.86</v>
      </c>
      <c r="G889" s="1" t="s">
        <v>3235</v>
      </c>
      <c r="H889" s="1" t="s">
        <v>1030</v>
      </c>
      <c r="I889" s="1" t="s">
        <v>2741</v>
      </c>
      <c r="J889" s="5">
        <v>238376</v>
      </c>
      <c r="K889" s="1" t="s">
        <v>3394</v>
      </c>
      <c r="L889" s="5">
        <v>1191.8800000000001</v>
      </c>
      <c r="M889" s="1" t="s">
        <v>2308</v>
      </c>
      <c r="N889" s="1" t="s">
        <v>3983</v>
      </c>
      <c r="O889" s="1" t="s">
        <v>2521</v>
      </c>
      <c r="P889" s="1" t="s">
        <v>2515</v>
      </c>
      <c r="Q889" s="1" t="s">
        <v>4794</v>
      </c>
      <c r="R889" s="1" t="s">
        <v>4120</v>
      </c>
      <c r="S889" s="1" t="s">
        <v>4971</v>
      </c>
      <c r="T889" s="6">
        <v>44593</v>
      </c>
      <c r="U889" s="6">
        <v>44593</v>
      </c>
      <c r="V889" s="7">
        <v>0.43756348606481482</v>
      </c>
      <c r="W889" s="6">
        <v>44609</v>
      </c>
      <c r="X889" s="7">
        <v>0</v>
      </c>
      <c r="Y889" s="8">
        <v>44609.652326388888</v>
      </c>
      <c r="Z889" s="5">
        <v>510</v>
      </c>
      <c r="AA889" s="1" t="s">
        <v>3403</v>
      </c>
      <c r="AB889" s="1"/>
      <c r="AC889" s="1"/>
      <c r="AD889" s="1"/>
      <c r="AE889" s="1" t="s">
        <v>3775</v>
      </c>
      <c r="AF889" s="1" t="s">
        <v>9</v>
      </c>
      <c r="AG889" s="4">
        <v>1</v>
      </c>
      <c r="AH889" s="1"/>
      <c r="AI889" s="6">
        <v>44926</v>
      </c>
    </row>
    <row r="890" spans="1:35" x14ac:dyDescent="0.3">
      <c r="A890" s="1" t="s">
        <v>1515</v>
      </c>
      <c r="B890" s="2" t="str">
        <f>HYPERLINK("https://my.zakupki.prom.ua/remote/dispatcher/state_purchase_view/34681354")</f>
        <v>https://my.zakupki.prom.ua/remote/dispatcher/state_purchase_view/34681354</v>
      </c>
      <c r="C890" s="1" t="s">
        <v>579</v>
      </c>
      <c r="D890" s="1" t="s">
        <v>578</v>
      </c>
      <c r="E890" s="4">
        <v>1</v>
      </c>
      <c r="F890" s="5">
        <v>446466</v>
      </c>
      <c r="G890" s="1" t="s">
        <v>4940</v>
      </c>
      <c r="H890" s="1" t="s">
        <v>749</v>
      </c>
      <c r="I890" s="1" t="s">
        <v>2985</v>
      </c>
      <c r="J890" s="5">
        <v>446466</v>
      </c>
      <c r="K890" s="1" t="s">
        <v>3394</v>
      </c>
      <c r="L890" s="5">
        <v>2232.33</v>
      </c>
      <c r="M890" s="1" t="s">
        <v>2308</v>
      </c>
      <c r="N890" s="1" t="s">
        <v>3983</v>
      </c>
      <c r="O890" s="1" t="s">
        <v>2521</v>
      </c>
      <c r="P890" s="1" t="s">
        <v>3956</v>
      </c>
      <c r="Q890" s="1" t="s">
        <v>2756</v>
      </c>
      <c r="R890" s="1" t="s">
        <v>4423</v>
      </c>
      <c r="S890" s="1" t="s">
        <v>4937</v>
      </c>
      <c r="T890" s="6">
        <v>44593</v>
      </c>
      <c r="U890" s="6">
        <v>44599</v>
      </c>
      <c r="V890" s="7">
        <v>0.375</v>
      </c>
      <c r="W890" s="6">
        <v>44602</v>
      </c>
      <c r="X890" s="7">
        <v>0.33333333333333331</v>
      </c>
      <c r="Y890" s="1" t="s">
        <v>4860</v>
      </c>
      <c r="Z890" s="5">
        <v>510</v>
      </c>
      <c r="AA890" s="1" t="s">
        <v>3403</v>
      </c>
      <c r="AB890" s="1"/>
      <c r="AC890" s="1"/>
      <c r="AD890" s="1"/>
      <c r="AE890" s="1" t="s">
        <v>3728</v>
      </c>
      <c r="AF890" s="1" t="s">
        <v>9</v>
      </c>
      <c r="AG890" s="4">
        <v>1</v>
      </c>
      <c r="AH890" s="1"/>
      <c r="AI890" s="6">
        <v>44926</v>
      </c>
    </row>
    <row r="891" spans="1:35" x14ac:dyDescent="0.3">
      <c r="A891" s="1" t="s">
        <v>1811</v>
      </c>
      <c r="B891" s="2" t="str">
        <f>HYPERLINK("https://my.zakupki.prom.ua/remote/dispatcher/state_purchase_view/34681344")</f>
        <v>https://my.zakupki.prom.ua/remote/dispatcher/state_purchase_view/34681344</v>
      </c>
      <c r="C891" s="1" t="s">
        <v>3921</v>
      </c>
      <c r="D891" s="1" t="s">
        <v>475</v>
      </c>
      <c r="E891" s="1" t="s">
        <v>4903</v>
      </c>
      <c r="F891" s="1" t="s">
        <v>4903</v>
      </c>
      <c r="G891" s="1" t="s">
        <v>4903</v>
      </c>
      <c r="H891" s="1" t="s">
        <v>681</v>
      </c>
      <c r="I891" s="1" t="s">
        <v>2394</v>
      </c>
      <c r="J891" s="5">
        <v>183291</v>
      </c>
      <c r="K891" s="1" t="s">
        <v>3394</v>
      </c>
      <c r="L891" s="5">
        <v>1832.91</v>
      </c>
      <c r="M891" s="1" t="s">
        <v>2308</v>
      </c>
      <c r="N891" s="1" t="s">
        <v>3983</v>
      </c>
      <c r="O891" s="1" t="s">
        <v>2521</v>
      </c>
      <c r="P891" s="1" t="s">
        <v>3956</v>
      </c>
      <c r="Q891" s="1" t="s">
        <v>4834</v>
      </c>
      <c r="R891" s="1" t="s">
        <v>4465</v>
      </c>
      <c r="S891" s="1" t="s">
        <v>4937</v>
      </c>
      <c r="T891" s="6">
        <v>44593</v>
      </c>
      <c r="U891" s="6">
        <v>44599</v>
      </c>
      <c r="V891" s="7">
        <v>0.47560185185185183</v>
      </c>
      <c r="W891" s="6">
        <v>44602</v>
      </c>
      <c r="X891" s="7">
        <v>0.47560185185185183</v>
      </c>
      <c r="Y891" s="1" t="s">
        <v>4860</v>
      </c>
      <c r="Z891" s="5">
        <v>340</v>
      </c>
      <c r="AA891" s="1" t="s">
        <v>3403</v>
      </c>
      <c r="AB891" s="1"/>
      <c r="AC891" s="1"/>
      <c r="AD891" s="1"/>
      <c r="AE891" s="1" t="s">
        <v>3775</v>
      </c>
      <c r="AF891" s="1" t="s">
        <v>9</v>
      </c>
      <c r="AG891" s="1" t="s">
        <v>9</v>
      </c>
      <c r="AH891" s="1"/>
      <c r="AI891" s="6">
        <v>44926</v>
      </c>
    </row>
    <row r="892" spans="1:35" x14ac:dyDescent="0.3">
      <c r="A892" s="1" t="s">
        <v>1816</v>
      </c>
      <c r="B892" s="2" t="str">
        <f>HYPERLINK("https://my.zakupki.prom.ua/remote/dispatcher/state_purchase_view/34681346")</f>
        <v>https://my.zakupki.prom.ua/remote/dispatcher/state_purchase_view/34681346</v>
      </c>
      <c r="C892" s="1" t="s">
        <v>3028</v>
      </c>
      <c r="D892" s="1" t="s">
        <v>1192</v>
      </c>
      <c r="E892" s="4">
        <v>4875</v>
      </c>
      <c r="F892" s="5">
        <v>40</v>
      </c>
      <c r="G892" s="1" t="s">
        <v>4989</v>
      </c>
      <c r="H892" s="1" t="s">
        <v>80</v>
      </c>
      <c r="I892" s="1" t="s">
        <v>2851</v>
      </c>
      <c r="J892" s="5">
        <v>195000</v>
      </c>
      <c r="K892" s="1" t="s">
        <v>3394</v>
      </c>
      <c r="L892" s="5">
        <v>975</v>
      </c>
      <c r="M892" s="1" t="s">
        <v>2308</v>
      </c>
      <c r="N892" s="1" t="s">
        <v>3403</v>
      </c>
      <c r="O892" s="1" t="s">
        <v>2521</v>
      </c>
      <c r="P892" s="1" t="s">
        <v>2762</v>
      </c>
      <c r="Q892" s="1" t="s">
        <v>2334</v>
      </c>
      <c r="R892" s="1" t="s">
        <v>4307</v>
      </c>
      <c r="S892" s="1" t="s">
        <v>4937</v>
      </c>
      <c r="T892" s="6">
        <v>44593</v>
      </c>
      <c r="U892" s="6">
        <v>44599</v>
      </c>
      <c r="V892" s="7">
        <v>0</v>
      </c>
      <c r="W892" s="6">
        <v>44603</v>
      </c>
      <c r="X892" s="7">
        <v>0</v>
      </c>
      <c r="Y892" s="1" t="s">
        <v>4860</v>
      </c>
      <c r="Z892" s="5">
        <v>340</v>
      </c>
      <c r="AA892" s="1" t="s">
        <v>3403</v>
      </c>
      <c r="AB892" s="1"/>
      <c r="AC892" s="1"/>
      <c r="AD892" s="1"/>
      <c r="AE892" s="1" t="s">
        <v>3738</v>
      </c>
      <c r="AF892" s="1" t="s">
        <v>9</v>
      </c>
      <c r="AG892" s="4">
        <v>1</v>
      </c>
      <c r="AH892" s="1"/>
      <c r="AI892" s="6">
        <v>44926</v>
      </c>
    </row>
    <row r="893" spans="1:35" x14ac:dyDescent="0.3">
      <c r="A893" s="1" t="s">
        <v>1851</v>
      </c>
      <c r="B893" s="2" t="str">
        <f>HYPERLINK("https://my.zakupki.prom.ua/remote/dispatcher/state_purchase_view/34681333")</f>
        <v>https://my.zakupki.prom.ua/remote/dispatcher/state_purchase_view/34681333</v>
      </c>
      <c r="C893" s="1" t="s">
        <v>2601</v>
      </c>
      <c r="D893" s="1" t="s">
        <v>789</v>
      </c>
      <c r="E893" s="1" t="s">
        <v>4903</v>
      </c>
      <c r="F893" s="1" t="s">
        <v>4903</v>
      </c>
      <c r="G893" s="1" t="s">
        <v>4903</v>
      </c>
      <c r="H893" s="1" t="s">
        <v>113</v>
      </c>
      <c r="I893" s="1" t="s">
        <v>3150</v>
      </c>
      <c r="J893" s="5">
        <v>46087</v>
      </c>
      <c r="K893" s="1" t="s">
        <v>3394</v>
      </c>
      <c r="L893" s="5">
        <v>230.44</v>
      </c>
      <c r="M893" s="1" t="s">
        <v>2308</v>
      </c>
      <c r="N893" s="1" t="s">
        <v>3983</v>
      </c>
      <c r="O893" s="1" t="s">
        <v>2521</v>
      </c>
      <c r="P893" s="1" t="s">
        <v>3956</v>
      </c>
      <c r="Q893" s="1" t="s">
        <v>4831</v>
      </c>
      <c r="R893" s="1" t="s">
        <v>4393</v>
      </c>
      <c r="S893" s="1" t="s">
        <v>4937</v>
      </c>
      <c r="T893" s="6">
        <v>44593</v>
      </c>
      <c r="U893" s="6">
        <v>44599</v>
      </c>
      <c r="V893" s="7">
        <v>0.45833333333333331</v>
      </c>
      <c r="W893" s="6">
        <v>44602</v>
      </c>
      <c r="X893" s="7">
        <v>0</v>
      </c>
      <c r="Y893" s="1" t="s">
        <v>4860</v>
      </c>
      <c r="Z893" s="5">
        <v>119</v>
      </c>
      <c r="AA893" s="1" t="s">
        <v>3403</v>
      </c>
      <c r="AB893" s="1"/>
      <c r="AC893" s="1"/>
      <c r="AD893" s="1"/>
      <c r="AE893" s="1" t="s">
        <v>3774</v>
      </c>
      <c r="AF893" s="1" t="s">
        <v>9</v>
      </c>
      <c r="AG893" s="1" t="s">
        <v>9</v>
      </c>
      <c r="AH893" s="1"/>
      <c r="AI893" s="6">
        <v>44926</v>
      </c>
    </row>
    <row r="894" spans="1:35" x14ac:dyDescent="0.3">
      <c r="A894" s="1" t="s">
        <v>1524</v>
      </c>
      <c r="B894" s="2" t="str">
        <f>HYPERLINK("https://my.zakupki.prom.ua/remote/dispatcher/state_purchase_view/34681331")</f>
        <v>https://my.zakupki.prom.ua/remote/dispatcher/state_purchase_view/34681331</v>
      </c>
      <c r="C894" s="1" t="s">
        <v>2630</v>
      </c>
      <c r="D894" s="1" t="s">
        <v>1264</v>
      </c>
      <c r="E894" s="1" t="s">
        <v>4903</v>
      </c>
      <c r="F894" s="1" t="s">
        <v>4903</v>
      </c>
      <c r="G894" s="1" t="s">
        <v>4903</v>
      </c>
      <c r="H894" s="1" t="s">
        <v>117</v>
      </c>
      <c r="I894" s="1" t="s">
        <v>3107</v>
      </c>
      <c r="J894" s="5">
        <v>36100</v>
      </c>
      <c r="K894" s="1" t="s">
        <v>3394</v>
      </c>
      <c r="L894" s="5">
        <v>180.5</v>
      </c>
      <c r="M894" s="1" t="s">
        <v>2308</v>
      </c>
      <c r="N894" s="1" t="s">
        <v>3983</v>
      </c>
      <c r="O894" s="1" t="s">
        <v>2521</v>
      </c>
      <c r="P894" s="1" t="s">
        <v>3956</v>
      </c>
      <c r="Q894" s="1" t="s">
        <v>4831</v>
      </c>
      <c r="R894" s="1" t="s">
        <v>4081</v>
      </c>
      <c r="S894" s="1" t="s">
        <v>4937</v>
      </c>
      <c r="T894" s="6">
        <v>44593</v>
      </c>
      <c r="U894" s="6">
        <v>44597</v>
      </c>
      <c r="V894" s="7">
        <v>0</v>
      </c>
      <c r="W894" s="6">
        <v>44602</v>
      </c>
      <c r="X894" s="7">
        <v>0</v>
      </c>
      <c r="Y894" s="1" t="s">
        <v>4860</v>
      </c>
      <c r="Z894" s="5">
        <v>119</v>
      </c>
      <c r="AA894" s="1" t="s">
        <v>3403</v>
      </c>
      <c r="AB894" s="1"/>
      <c r="AC894" s="1"/>
      <c r="AD894" s="1"/>
      <c r="AE894" s="1" t="s">
        <v>3744</v>
      </c>
      <c r="AF894" s="1" t="s">
        <v>9</v>
      </c>
      <c r="AG894" s="4">
        <v>2</v>
      </c>
      <c r="AH894" s="1"/>
      <c r="AI894" s="6">
        <v>44926</v>
      </c>
    </row>
    <row r="895" spans="1:35" x14ac:dyDescent="0.3">
      <c r="A895" s="1" t="s">
        <v>1803</v>
      </c>
      <c r="B895" s="2" t="str">
        <f>HYPERLINK("https://my.zakupki.prom.ua/remote/dispatcher/state_purchase_view/34681322")</f>
        <v>https://my.zakupki.prom.ua/remote/dispatcher/state_purchase_view/34681322</v>
      </c>
      <c r="C895" s="1" t="s">
        <v>2782</v>
      </c>
      <c r="D895" s="1" t="s">
        <v>738</v>
      </c>
      <c r="E895" s="4">
        <v>210</v>
      </c>
      <c r="F895" s="5">
        <v>117</v>
      </c>
      <c r="G895" s="1" t="s">
        <v>4883</v>
      </c>
      <c r="H895" s="1" t="s">
        <v>739</v>
      </c>
      <c r="I895" s="1" t="s">
        <v>3190</v>
      </c>
      <c r="J895" s="5">
        <v>24570</v>
      </c>
      <c r="K895" s="1" t="s">
        <v>3394</v>
      </c>
      <c r="L895" s="5">
        <v>123</v>
      </c>
      <c r="M895" s="1" t="s">
        <v>2308</v>
      </c>
      <c r="N895" s="1" t="s">
        <v>3983</v>
      </c>
      <c r="O895" s="1" t="s">
        <v>2521</v>
      </c>
      <c r="P895" s="1" t="s">
        <v>2762</v>
      </c>
      <c r="Q895" s="1" t="s">
        <v>3035</v>
      </c>
      <c r="R895" s="1" t="s">
        <v>4186</v>
      </c>
      <c r="S895" s="1" t="s">
        <v>4937</v>
      </c>
      <c r="T895" s="6">
        <v>44593</v>
      </c>
      <c r="U895" s="6">
        <v>44599</v>
      </c>
      <c r="V895" s="7">
        <v>0</v>
      </c>
      <c r="W895" s="6">
        <v>44602</v>
      </c>
      <c r="X895" s="7">
        <v>0.5</v>
      </c>
      <c r="Y895" s="1" t="s">
        <v>4860</v>
      </c>
      <c r="Z895" s="5">
        <v>119</v>
      </c>
      <c r="AA895" s="1" t="s">
        <v>3403</v>
      </c>
      <c r="AB895" s="1"/>
      <c r="AC895" s="1"/>
      <c r="AD895" s="1"/>
      <c r="AE895" s="1" t="s">
        <v>3772</v>
      </c>
      <c r="AF895" s="1" t="s">
        <v>9</v>
      </c>
      <c r="AG895" s="4">
        <v>12</v>
      </c>
      <c r="AH895" s="1"/>
      <c r="AI895" s="6">
        <v>44681</v>
      </c>
    </row>
    <row r="896" spans="1:35" x14ac:dyDescent="0.3">
      <c r="A896" s="1" t="s">
        <v>1694</v>
      </c>
      <c r="B896" s="2" t="str">
        <f>HYPERLINK("https://my.zakupki.prom.ua/remote/dispatcher/state_purchase_view/34681311")</f>
        <v>https://my.zakupki.prom.ua/remote/dispatcher/state_purchase_view/34681311</v>
      </c>
      <c r="C896" s="1" t="s">
        <v>3408</v>
      </c>
      <c r="D896" s="1" t="s">
        <v>461</v>
      </c>
      <c r="E896" s="1" t="s">
        <v>4903</v>
      </c>
      <c r="F896" s="1" t="s">
        <v>4903</v>
      </c>
      <c r="G896" s="1" t="s">
        <v>4903</v>
      </c>
      <c r="H896" s="1" t="s">
        <v>304</v>
      </c>
      <c r="I896" s="1" t="s">
        <v>2489</v>
      </c>
      <c r="J896" s="5">
        <v>71898</v>
      </c>
      <c r="K896" s="1" t="s">
        <v>3394</v>
      </c>
      <c r="L896" s="5">
        <v>359.49</v>
      </c>
      <c r="M896" s="1" t="s">
        <v>2308</v>
      </c>
      <c r="N896" s="1" t="s">
        <v>3983</v>
      </c>
      <c r="O896" s="1" t="s">
        <v>2521</v>
      </c>
      <c r="P896" s="1" t="s">
        <v>3956</v>
      </c>
      <c r="Q896" s="1" t="s">
        <v>4798</v>
      </c>
      <c r="R896" s="1" t="s">
        <v>4081</v>
      </c>
      <c r="S896" s="1" t="s">
        <v>4937</v>
      </c>
      <c r="T896" s="6">
        <v>44593</v>
      </c>
      <c r="U896" s="6">
        <v>44597</v>
      </c>
      <c r="V896" s="7">
        <v>0</v>
      </c>
      <c r="W896" s="6">
        <v>44601</v>
      </c>
      <c r="X896" s="7">
        <v>0</v>
      </c>
      <c r="Y896" s="1" t="s">
        <v>4860</v>
      </c>
      <c r="Z896" s="5">
        <v>340</v>
      </c>
      <c r="AA896" s="1" t="s">
        <v>3403</v>
      </c>
      <c r="AB896" s="1"/>
      <c r="AC896" s="1"/>
      <c r="AD896" s="1"/>
      <c r="AE896" s="1" t="s">
        <v>3765</v>
      </c>
      <c r="AF896" s="1" t="s">
        <v>9</v>
      </c>
      <c r="AG896" s="4">
        <v>1</v>
      </c>
      <c r="AH896" s="1"/>
      <c r="AI896" s="6">
        <v>44926</v>
      </c>
    </row>
    <row r="897" spans="1:35" x14ac:dyDescent="0.3">
      <c r="A897" s="1" t="s">
        <v>1522</v>
      </c>
      <c r="B897" s="2" t="str">
        <f>HYPERLINK("https://my.zakupki.prom.ua/remote/dispatcher/state_purchase_view/34681297")</f>
        <v>https://my.zakupki.prom.ua/remote/dispatcher/state_purchase_view/34681297</v>
      </c>
      <c r="C897" s="1" t="s">
        <v>3675</v>
      </c>
      <c r="D897" s="1" t="s">
        <v>491</v>
      </c>
      <c r="E897" s="1" t="s">
        <v>4903</v>
      </c>
      <c r="F897" s="1" t="s">
        <v>4903</v>
      </c>
      <c r="G897" s="1" t="s">
        <v>4903</v>
      </c>
      <c r="H897" s="1" t="s">
        <v>654</v>
      </c>
      <c r="I897" s="1" t="s">
        <v>3949</v>
      </c>
      <c r="J897" s="5">
        <v>59619</v>
      </c>
      <c r="K897" s="1" t="s">
        <v>3394</v>
      </c>
      <c r="L897" s="5">
        <v>298.10000000000002</v>
      </c>
      <c r="M897" s="1" t="s">
        <v>2308</v>
      </c>
      <c r="N897" s="1" t="s">
        <v>3983</v>
      </c>
      <c r="O897" s="1" t="s">
        <v>2521</v>
      </c>
      <c r="P897" s="1" t="s">
        <v>3956</v>
      </c>
      <c r="Q897" s="1" t="s">
        <v>4805</v>
      </c>
      <c r="R897" s="1" t="s">
        <v>4481</v>
      </c>
      <c r="S897" s="1" t="s">
        <v>4937</v>
      </c>
      <c r="T897" s="6">
        <v>44593</v>
      </c>
      <c r="U897" s="6">
        <v>44599</v>
      </c>
      <c r="V897" s="7">
        <v>0.625</v>
      </c>
      <c r="W897" s="6">
        <v>44602</v>
      </c>
      <c r="X897" s="7">
        <v>0.625</v>
      </c>
      <c r="Y897" s="1" t="s">
        <v>4860</v>
      </c>
      <c r="Z897" s="5">
        <v>340</v>
      </c>
      <c r="AA897" s="1" t="s">
        <v>3403</v>
      </c>
      <c r="AB897" s="1"/>
      <c r="AC897" s="1"/>
      <c r="AD897" s="1"/>
      <c r="AE897" s="1" t="s">
        <v>3788</v>
      </c>
      <c r="AF897" s="1" t="s">
        <v>9</v>
      </c>
      <c r="AG897" s="4">
        <v>2</v>
      </c>
      <c r="AH897" s="1"/>
      <c r="AI897" s="6">
        <v>44926</v>
      </c>
    </row>
    <row r="898" spans="1:35" x14ac:dyDescent="0.3">
      <c r="A898" s="1" t="s">
        <v>1341</v>
      </c>
      <c r="B898" s="2" t="str">
        <f>HYPERLINK("https://my.zakupki.prom.ua/remote/dispatcher/state_purchase_view/34681286")</f>
        <v>https://my.zakupki.prom.ua/remote/dispatcher/state_purchase_view/34681286</v>
      </c>
      <c r="C898" s="1" t="s">
        <v>3337</v>
      </c>
      <c r="D898" s="1" t="s">
        <v>471</v>
      </c>
      <c r="E898" s="1" t="s">
        <v>4903</v>
      </c>
      <c r="F898" s="1" t="s">
        <v>4903</v>
      </c>
      <c r="G898" s="1" t="s">
        <v>4903</v>
      </c>
      <c r="H898" s="1" t="s">
        <v>662</v>
      </c>
      <c r="I898" s="1" t="s">
        <v>2809</v>
      </c>
      <c r="J898" s="5">
        <v>80000</v>
      </c>
      <c r="K898" s="1" t="s">
        <v>3394</v>
      </c>
      <c r="L898" s="5">
        <v>400</v>
      </c>
      <c r="M898" s="1" t="s">
        <v>2308</v>
      </c>
      <c r="N898" s="1" t="s">
        <v>3403</v>
      </c>
      <c r="O898" s="1" t="s">
        <v>2521</v>
      </c>
      <c r="P898" s="1" t="s">
        <v>2762</v>
      </c>
      <c r="Q898" s="1" t="s">
        <v>3878</v>
      </c>
      <c r="R898" s="1" t="s">
        <v>4491</v>
      </c>
      <c r="S898" s="1" t="s">
        <v>4937</v>
      </c>
      <c r="T898" s="6">
        <v>44593</v>
      </c>
      <c r="U898" s="6">
        <v>44597</v>
      </c>
      <c r="V898" s="7">
        <v>0.54166666666666663</v>
      </c>
      <c r="W898" s="6">
        <v>44602</v>
      </c>
      <c r="X898" s="7">
        <v>0.54166666666666663</v>
      </c>
      <c r="Y898" s="1" t="s">
        <v>4860</v>
      </c>
      <c r="Z898" s="5">
        <v>340</v>
      </c>
      <c r="AA898" s="1" t="s">
        <v>3403</v>
      </c>
      <c r="AB898" s="1"/>
      <c r="AC898" s="1"/>
      <c r="AD898" s="1"/>
      <c r="AE898" s="1" t="s">
        <v>3767</v>
      </c>
      <c r="AF898" s="1" t="s">
        <v>9</v>
      </c>
      <c r="AG898" s="1" t="s">
        <v>9</v>
      </c>
      <c r="AH898" s="6">
        <v>44593</v>
      </c>
      <c r="AI898" s="6">
        <v>44926</v>
      </c>
    </row>
    <row r="899" spans="1:35" x14ac:dyDescent="0.3">
      <c r="A899" s="1" t="s">
        <v>1506</v>
      </c>
      <c r="B899" s="2" t="str">
        <f>HYPERLINK("https://my.zakupki.prom.ua/remote/dispatcher/state_purchase_view/34681283")</f>
        <v>https://my.zakupki.prom.ua/remote/dispatcher/state_purchase_view/34681283</v>
      </c>
      <c r="C899" s="1" t="s">
        <v>3596</v>
      </c>
      <c r="D899" s="1" t="s">
        <v>1204</v>
      </c>
      <c r="E899" s="4">
        <v>1</v>
      </c>
      <c r="F899" s="5">
        <v>1277.5</v>
      </c>
      <c r="G899" s="1" t="s">
        <v>4940</v>
      </c>
      <c r="H899" s="1" t="s">
        <v>1082</v>
      </c>
      <c r="I899" s="1" t="s">
        <v>3261</v>
      </c>
      <c r="J899" s="5">
        <v>1277.5</v>
      </c>
      <c r="K899" s="1" t="s">
        <v>3394</v>
      </c>
      <c r="L899" s="5">
        <v>6.39</v>
      </c>
      <c r="M899" s="1" t="s">
        <v>2308</v>
      </c>
      <c r="N899" s="1" t="s">
        <v>3983</v>
      </c>
      <c r="O899" s="1" t="s">
        <v>2521</v>
      </c>
      <c r="P899" s="1" t="s">
        <v>2515</v>
      </c>
      <c r="Q899" s="1" t="s">
        <v>3262</v>
      </c>
      <c r="R899" s="1" t="s">
        <v>4317</v>
      </c>
      <c r="S899" s="1" t="s">
        <v>4971</v>
      </c>
      <c r="T899" s="6">
        <v>44593</v>
      </c>
      <c r="U899" s="6">
        <v>44593</v>
      </c>
      <c r="V899" s="7">
        <v>0.47124192034722218</v>
      </c>
      <c r="W899" s="6">
        <v>44609</v>
      </c>
      <c r="X899" s="7">
        <v>0.47469907407407408</v>
      </c>
      <c r="Y899" s="8">
        <v>44610.658784722225</v>
      </c>
      <c r="Z899" s="5">
        <v>17</v>
      </c>
      <c r="AA899" s="1" t="s">
        <v>3403</v>
      </c>
      <c r="AB899" s="1"/>
      <c r="AC899" s="1"/>
      <c r="AD899" s="1"/>
      <c r="AE899" s="1" t="s">
        <v>3762</v>
      </c>
      <c r="AF899" s="1" t="s">
        <v>9</v>
      </c>
      <c r="AG899" s="1" t="s">
        <v>9</v>
      </c>
      <c r="AH899" s="1"/>
      <c r="AI899" s="6">
        <v>44926</v>
      </c>
    </row>
    <row r="900" spans="1:35" x14ac:dyDescent="0.3">
      <c r="A900" s="1" t="s">
        <v>1498</v>
      </c>
      <c r="B900" s="2" t="str">
        <f>HYPERLINK("https://my.zakupki.prom.ua/remote/dispatcher/state_purchase_view/34681284")</f>
        <v>https://my.zakupki.prom.ua/remote/dispatcher/state_purchase_view/34681284</v>
      </c>
      <c r="C900" s="1" t="s">
        <v>2602</v>
      </c>
      <c r="D900" s="1" t="s">
        <v>1172</v>
      </c>
      <c r="E900" s="4">
        <v>1</v>
      </c>
      <c r="F900" s="5">
        <v>107944.46</v>
      </c>
      <c r="G900" s="1" t="s">
        <v>4940</v>
      </c>
      <c r="H900" s="1" t="s">
        <v>920</v>
      </c>
      <c r="I900" s="1" t="s">
        <v>3146</v>
      </c>
      <c r="J900" s="5">
        <v>107944.46</v>
      </c>
      <c r="K900" s="1" t="s">
        <v>3394</v>
      </c>
      <c r="L900" s="5">
        <v>539.72</v>
      </c>
      <c r="M900" s="1" t="s">
        <v>2308</v>
      </c>
      <c r="N900" s="1" t="s">
        <v>3983</v>
      </c>
      <c r="O900" s="1" t="s">
        <v>2521</v>
      </c>
      <c r="P900" s="1" t="s">
        <v>2515</v>
      </c>
      <c r="Q900" s="1" t="s">
        <v>3035</v>
      </c>
      <c r="R900" s="1" t="s">
        <v>4554</v>
      </c>
      <c r="S900" s="1" t="s">
        <v>4971</v>
      </c>
      <c r="T900" s="6">
        <v>44593</v>
      </c>
      <c r="U900" s="6">
        <v>44593</v>
      </c>
      <c r="V900" s="7">
        <v>0.47018305107638886</v>
      </c>
      <c r="W900" s="6">
        <v>44609</v>
      </c>
      <c r="X900" s="7">
        <v>0</v>
      </c>
      <c r="Y900" s="8">
        <v>44609.46601851852</v>
      </c>
      <c r="Z900" s="5">
        <v>340</v>
      </c>
      <c r="AA900" s="1" t="s">
        <v>3403</v>
      </c>
      <c r="AB900" s="1"/>
      <c r="AC900" s="1"/>
      <c r="AD900" s="1"/>
      <c r="AE900" s="1" t="s">
        <v>3750</v>
      </c>
      <c r="AF900" s="1" t="s">
        <v>9</v>
      </c>
      <c r="AG900" s="4">
        <v>11</v>
      </c>
      <c r="AH900" s="1"/>
      <c r="AI900" s="6">
        <v>44926</v>
      </c>
    </row>
    <row r="901" spans="1:35" x14ac:dyDescent="0.3">
      <c r="A901" s="1" t="s">
        <v>1340</v>
      </c>
      <c r="B901" s="2" t="str">
        <f>HYPERLINK("https://my.zakupki.prom.ua/remote/dispatcher/state_purchase_lot_view/740633")</f>
        <v>https://my.zakupki.prom.ua/remote/dispatcher/state_purchase_lot_view/740633</v>
      </c>
      <c r="C901" s="1" t="s">
        <v>2767</v>
      </c>
      <c r="D901" s="1" t="s">
        <v>723</v>
      </c>
      <c r="E901" s="1" t="s">
        <v>4903</v>
      </c>
      <c r="F901" s="1" t="s">
        <v>4903</v>
      </c>
      <c r="G901" s="1" t="s">
        <v>4903</v>
      </c>
      <c r="H901" s="1" t="s">
        <v>352</v>
      </c>
      <c r="I901" s="1" t="s">
        <v>4715</v>
      </c>
      <c r="J901" s="5">
        <v>510319.44</v>
      </c>
      <c r="K901" s="5">
        <v>84989.05</v>
      </c>
      <c r="L901" s="5">
        <v>849.89</v>
      </c>
      <c r="M901" s="1" t="s">
        <v>2308</v>
      </c>
      <c r="N901" s="1" t="s">
        <v>3403</v>
      </c>
      <c r="O901" s="1" t="s">
        <v>2521</v>
      </c>
      <c r="P901" s="1" t="s">
        <v>2762</v>
      </c>
      <c r="Q901" s="1" t="s">
        <v>3325</v>
      </c>
      <c r="R901" s="1" t="s">
        <v>4081</v>
      </c>
      <c r="S901" s="1" t="s">
        <v>4937</v>
      </c>
      <c r="T901" s="6">
        <v>44593</v>
      </c>
      <c r="U901" s="6">
        <v>44600</v>
      </c>
      <c r="V901" s="7">
        <v>0.70833333333333337</v>
      </c>
      <c r="W901" s="6">
        <v>44603</v>
      </c>
      <c r="X901" s="7">
        <v>0.70833333333333337</v>
      </c>
      <c r="Y901" s="1" t="s">
        <v>4860</v>
      </c>
      <c r="Z901" s="5">
        <v>340</v>
      </c>
      <c r="AA901" s="1" t="s">
        <v>3403</v>
      </c>
      <c r="AB901" s="1"/>
      <c r="AC901" s="1"/>
      <c r="AD901" s="1"/>
      <c r="AE901" s="1" t="s">
        <v>3813</v>
      </c>
      <c r="AF901" s="1" t="s">
        <v>9</v>
      </c>
      <c r="AG901" s="1" t="s">
        <v>9</v>
      </c>
      <c r="AH901" s="1"/>
      <c r="AI901" s="1"/>
    </row>
    <row r="902" spans="1:35" x14ac:dyDescent="0.3">
      <c r="A902" s="1" t="s">
        <v>1340</v>
      </c>
      <c r="B902" s="2" t="str">
        <f>HYPERLINK("https://my.zakupki.prom.ua/remote/dispatcher/state_purchase_lot_view/740634")</f>
        <v>https://my.zakupki.prom.ua/remote/dispatcher/state_purchase_lot_view/740634</v>
      </c>
      <c r="C902" s="1" t="s">
        <v>2768</v>
      </c>
      <c r="D902" s="1" t="s">
        <v>723</v>
      </c>
      <c r="E902" s="1" t="s">
        <v>4903</v>
      </c>
      <c r="F902" s="1" t="s">
        <v>4903</v>
      </c>
      <c r="G902" s="1" t="s">
        <v>4903</v>
      </c>
      <c r="H902" s="1" t="s">
        <v>352</v>
      </c>
      <c r="I902" s="1" t="s">
        <v>4715</v>
      </c>
      <c r="J902" s="5">
        <v>510319.44</v>
      </c>
      <c r="K902" s="5">
        <v>225586.95</v>
      </c>
      <c r="L902" s="5">
        <v>2255.87</v>
      </c>
      <c r="M902" s="1" t="s">
        <v>2308</v>
      </c>
      <c r="N902" s="1" t="s">
        <v>3403</v>
      </c>
      <c r="O902" s="1" t="s">
        <v>2521</v>
      </c>
      <c r="P902" s="1" t="s">
        <v>2762</v>
      </c>
      <c r="Q902" s="1" t="s">
        <v>3325</v>
      </c>
      <c r="R902" s="1" t="s">
        <v>4081</v>
      </c>
      <c r="S902" s="1" t="s">
        <v>4937</v>
      </c>
      <c r="T902" s="6">
        <v>44593</v>
      </c>
      <c r="U902" s="6">
        <v>44600</v>
      </c>
      <c r="V902" s="7">
        <v>0.70833333333333337</v>
      </c>
      <c r="W902" s="6">
        <v>44603</v>
      </c>
      <c r="X902" s="7">
        <v>0.70833333333333337</v>
      </c>
      <c r="Y902" s="1" t="s">
        <v>4860</v>
      </c>
      <c r="Z902" s="5">
        <v>510</v>
      </c>
      <c r="AA902" s="1" t="s">
        <v>3403</v>
      </c>
      <c r="AB902" s="1"/>
      <c r="AC902" s="1"/>
      <c r="AD902" s="1"/>
      <c r="AE902" s="1" t="s">
        <v>3813</v>
      </c>
      <c r="AF902" s="1" t="s">
        <v>9</v>
      </c>
      <c r="AG902" s="1" t="s">
        <v>9</v>
      </c>
      <c r="AH902" s="1"/>
      <c r="AI902" s="1"/>
    </row>
    <row r="903" spans="1:35" x14ac:dyDescent="0.3">
      <c r="A903" s="1" t="s">
        <v>1340</v>
      </c>
      <c r="B903" s="2" t="str">
        <f>HYPERLINK("https://my.zakupki.prom.ua/remote/dispatcher/state_purchase_lot_view/740635")</f>
        <v>https://my.zakupki.prom.ua/remote/dispatcher/state_purchase_lot_view/740635</v>
      </c>
      <c r="C903" s="1" t="s">
        <v>2769</v>
      </c>
      <c r="D903" s="1" t="s">
        <v>723</v>
      </c>
      <c r="E903" s="1" t="s">
        <v>4903</v>
      </c>
      <c r="F903" s="1" t="s">
        <v>4903</v>
      </c>
      <c r="G903" s="1" t="s">
        <v>4903</v>
      </c>
      <c r="H903" s="1" t="s">
        <v>352</v>
      </c>
      <c r="I903" s="1" t="s">
        <v>4715</v>
      </c>
      <c r="J903" s="5">
        <v>510319.44</v>
      </c>
      <c r="K903" s="5">
        <v>197.74</v>
      </c>
      <c r="L903" s="5">
        <v>1.98</v>
      </c>
      <c r="M903" s="1" t="s">
        <v>2308</v>
      </c>
      <c r="N903" s="1" t="s">
        <v>3403</v>
      </c>
      <c r="O903" s="1" t="s">
        <v>2521</v>
      </c>
      <c r="P903" s="1" t="s">
        <v>2762</v>
      </c>
      <c r="Q903" s="1" t="s">
        <v>3325</v>
      </c>
      <c r="R903" s="1" t="s">
        <v>4081</v>
      </c>
      <c r="S903" s="1" t="s">
        <v>4937</v>
      </c>
      <c r="T903" s="6">
        <v>44593</v>
      </c>
      <c r="U903" s="6">
        <v>44600</v>
      </c>
      <c r="V903" s="7">
        <v>0.70833333333333337</v>
      </c>
      <c r="W903" s="6">
        <v>44603</v>
      </c>
      <c r="X903" s="7">
        <v>0.70833333333333337</v>
      </c>
      <c r="Y903" s="1" t="s">
        <v>4860</v>
      </c>
      <c r="Z903" s="5">
        <v>17</v>
      </c>
      <c r="AA903" s="1" t="s">
        <v>3403</v>
      </c>
      <c r="AB903" s="1"/>
      <c r="AC903" s="1"/>
      <c r="AD903" s="1"/>
      <c r="AE903" s="1" t="s">
        <v>3813</v>
      </c>
      <c r="AF903" s="1" t="s">
        <v>9</v>
      </c>
      <c r="AG903" s="1" t="s">
        <v>9</v>
      </c>
      <c r="AH903" s="1"/>
      <c r="AI903" s="1"/>
    </row>
    <row r="904" spans="1:35" x14ac:dyDescent="0.3">
      <c r="A904" s="1" t="s">
        <v>1340</v>
      </c>
      <c r="B904" s="2" t="str">
        <f>HYPERLINK("https://my.zakupki.prom.ua/remote/dispatcher/state_purchase_lot_view/740636")</f>
        <v>https://my.zakupki.prom.ua/remote/dispatcher/state_purchase_lot_view/740636</v>
      </c>
      <c r="C904" s="1" t="s">
        <v>2770</v>
      </c>
      <c r="D904" s="1" t="s">
        <v>723</v>
      </c>
      <c r="E904" s="1" t="s">
        <v>4903</v>
      </c>
      <c r="F904" s="1" t="s">
        <v>4903</v>
      </c>
      <c r="G904" s="1" t="s">
        <v>4903</v>
      </c>
      <c r="H904" s="1" t="s">
        <v>352</v>
      </c>
      <c r="I904" s="1" t="s">
        <v>4715</v>
      </c>
      <c r="J904" s="5">
        <v>510319.44</v>
      </c>
      <c r="K904" s="5">
        <v>9520.5</v>
      </c>
      <c r="L904" s="5">
        <v>95.21</v>
      </c>
      <c r="M904" s="1" t="s">
        <v>2308</v>
      </c>
      <c r="N904" s="1" t="s">
        <v>3403</v>
      </c>
      <c r="O904" s="1" t="s">
        <v>2521</v>
      </c>
      <c r="P904" s="1" t="s">
        <v>2762</v>
      </c>
      <c r="Q904" s="1" t="s">
        <v>3325</v>
      </c>
      <c r="R904" s="1" t="s">
        <v>4081</v>
      </c>
      <c r="S904" s="1" t="s">
        <v>4937</v>
      </c>
      <c r="T904" s="6">
        <v>44593</v>
      </c>
      <c r="U904" s="6">
        <v>44600</v>
      </c>
      <c r="V904" s="7">
        <v>0.70833333333333337</v>
      </c>
      <c r="W904" s="6">
        <v>44603</v>
      </c>
      <c r="X904" s="7">
        <v>0.70833333333333337</v>
      </c>
      <c r="Y904" s="1" t="s">
        <v>4860</v>
      </c>
      <c r="Z904" s="5">
        <v>17</v>
      </c>
      <c r="AA904" s="1" t="s">
        <v>3403</v>
      </c>
      <c r="AB904" s="1"/>
      <c r="AC904" s="1"/>
      <c r="AD904" s="1"/>
      <c r="AE904" s="1" t="s">
        <v>3813</v>
      </c>
      <c r="AF904" s="1" t="s">
        <v>9</v>
      </c>
      <c r="AG904" s="1" t="s">
        <v>9</v>
      </c>
      <c r="AH904" s="1"/>
      <c r="AI904" s="1"/>
    </row>
    <row r="905" spans="1:35" x14ac:dyDescent="0.3">
      <c r="A905" s="1" t="s">
        <v>1340</v>
      </c>
      <c r="B905" s="2" t="str">
        <f>HYPERLINK("https://my.zakupki.prom.ua/remote/dispatcher/state_purchase_lot_view/740637")</f>
        <v>https://my.zakupki.prom.ua/remote/dispatcher/state_purchase_lot_view/740637</v>
      </c>
      <c r="C905" s="1" t="s">
        <v>2771</v>
      </c>
      <c r="D905" s="1" t="s">
        <v>723</v>
      </c>
      <c r="E905" s="1" t="s">
        <v>4903</v>
      </c>
      <c r="F905" s="1" t="s">
        <v>4903</v>
      </c>
      <c r="G905" s="1" t="s">
        <v>4903</v>
      </c>
      <c r="H905" s="1" t="s">
        <v>352</v>
      </c>
      <c r="I905" s="1" t="s">
        <v>4715</v>
      </c>
      <c r="J905" s="5">
        <v>510319.44</v>
      </c>
      <c r="K905" s="5">
        <v>174663.3</v>
      </c>
      <c r="L905" s="5">
        <v>1746.63</v>
      </c>
      <c r="M905" s="1" t="s">
        <v>2308</v>
      </c>
      <c r="N905" s="1" t="s">
        <v>3403</v>
      </c>
      <c r="O905" s="1" t="s">
        <v>2521</v>
      </c>
      <c r="P905" s="1" t="s">
        <v>2762</v>
      </c>
      <c r="Q905" s="1" t="s">
        <v>3325</v>
      </c>
      <c r="R905" s="1" t="s">
        <v>4081</v>
      </c>
      <c r="S905" s="1" t="s">
        <v>4937</v>
      </c>
      <c r="T905" s="6">
        <v>44593</v>
      </c>
      <c r="U905" s="6">
        <v>44600</v>
      </c>
      <c r="V905" s="7">
        <v>0.70833333333333337</v>
      </c>
      <c r="W905" s="6">
        <v>44603</v>
      </c>
      <c r="X905" s="7">
        <v>0.70833333333333337</v>
      </c>
      <c r="Y905" s="1" t="s">
        <v>4860</v>
      </c>
      <c r="Z905" s="5">
        <v>340</v>
      </c>
      <c r="AA905" s="1" t="s">
        <v>3403</v>
      </c>
      <c r="AB905" s="1"/>
      <c r="AC905" s="1"/>
      <c r="AD905" s="1"/>
      <c r="AE905" s="1" t="s">
        <v>3813</v>
      </c>
      <c r="AF905" s="1" t="s">
        <v>9</v>
      </c>
      <c r="AG905" s="1" t="s">
        <v>9</v>
      </c>
      <c r="AH905" s="1"/>
      <c r="AI905" s="1"/>
    </row>
    <row r="906" spans="1:35" x14ac:dyDescent="0.3">
      <c r="A906" s="1" t="s">
        <v>1340</v>
      </c>
      <c r="B906" s="2" t="str">
        <f>HYPERLINK("https://my.zakupki.prom.ua/remote/dispatcher/state_purchase_lot_view/740638")</f>
        <v>https://my.zakupki.prom.ua/remote/dispatcher/state_purchase_lot_view/740638</v>
      </c>
      <c r="C906" s="1" t="s">
        <v>2772</v>
      </c>
      <c r="D906" s="1" t="s">
        <v>723</v>
      </c>
      <c r="E906" s="1" t="s">
        <v>4903</v>
      </c>
      <c r="F906" s="1" t="s">
        <v>4903</v>
      </c>
      <c r="G906" s="1" t="s">
        <v>4903</v>
      </c>
      <c r="H906" s="1" t="s">
        <v>352</v>
      </c>
      <c r="I906" s="1" t="s">
        <v>4715</v>
      </c>
      <c r="J906" s="5">
        <v>510319.44</v>
      </c>
      <c r="K906" s="5">
        <v>15361.9</v>
      </c>
      <c r="L906" s="5">
        <v>153.62</v>
      </c>
      <c r="M906" s="1" t="s">
        <v>2308</v>
      </c>
      <c r="N906" s="1" t="s">
        <v>3403</v>
      </c>
      <c r="O906" s="1" t="s">
        <v>2521</v>
      </c>
      <c r="P906" s="1" t="s">
        <v>2762</v>
      </c>
      <c r="Q906" s="1" t="s">
        <v>3325</v>
      </c>
      <c r="R906" s="1" t="s">
        <v>4081</v>
      </c>
      <c r="S906" s="1" t="s">
        <v>4937</v>
      </c>
      <c r="T906" s="6">
        <v>44593</v>
      </c>
      <c r="U906" s="6">
        <v>44600</v>
      </c>
      <c r="V906" s="7">
        <v>0.70833333333333337</v>
      </c>
      <c r="W906" s="6">
        <v>44603</v>
      </c>
      <c r="X906" s="7">
        <v>0.70833333333333337</v>
      </c>
      <c r="Y906" s="1" t="s">
        <v>4860</v>
      </c>
      <c r="Z906" s="5">
        <v>17</v>
      </c>
      <c r="AA906" s="1" t="s">
        <v>3403</v>
      </c>
      <c r="AB906" s="1"/>
      <c r="AC906" s="1"/>
      <c r="AD906" s="1"/>
      <c r="AE906" s="1" t="s">
        <v>3813</v>
      </c>
      <c r="AF906" s="1" t="s">
        <v>9</v>
      </c>
      <c r="AG906" s="1" t="s">
        <v>9</v>
      </c>
      <c r="AH906" s="1"/>
      <c r="AI906" s="1"/>
    </row>
    <row r="907" spans="1:35" x14ac:dyDescent="0.3">
      <c r="A907" s="1" t="s">
        <v>1337</v>
      </c>
      <c r="B907" s="2" t="str">
        <f>HYPERLINK("https://my.zakupki.prom.ua/remote/dispatcher/state_purchase_view/34681260")</f>
        <v>https://my.zakupki.prom.ua/remote/dispatcher/state_purchase_view/34681260</v>
      </c>
      <c r="C907" s="1" t="s">
        <v>3495</v>
      </c>
      <c r="D907" s="1" t="s">
        <v>999</v>
      </c>
      <c r="E907" s="4">
        <v>500</v>
      </c>
      <c r="F907" s="5">
        <v>40.200000000000003</v>
      </c>
      <c r="G907" s="1" t="s">
        <v>4989</v>
      </c>
      <c r="H907" s="1" t="s">
        <v>245</v>
      </c>
      <c r="I907" s="1" t="s">
        <v>3177</v>
      </c>
      <c r="J907" s="5">
        <v>20100</v>
      </c>
      <c r="K907" s="1" t="s">
        <v>3394</v>
      </c>
      <c r="L907" s="5">
        <v>100.5</v>
      </c>
      <c r="M907" s="1" t="s">
        <v>2308</v>
      </c>
      <c r="N907" s="1" t="s">
        <v>3983</v>
      </c>
      <c r="O907" s="1" t="s">
        <v>2521</v>
      </c>
      <c r="P907" s="1" t="s">
        <v>3956</v>
      </c>
      <c r="Q907" s="1" t="s">
        <v>2756</v>
      </c>
      <c r="R907" s="1" t="s">
        <v>4455</v>
      </c>
      <c r="S907" s="1" t="s">
        <v>4937</v>
      </c>
      <c r="T907" s="6">
        <v>44593</v>
      </c>
      <c r="U907" s="6">
        <v>44599</v>
      </c>
      <c r="V907" s="7">
        <v>0.45833333333333331</v>
      </c>
      <c r="W907" s="6">
        <v>44602</v>
      </c>
      <c r="X907" s="7">
        <v>0.45833333333333331</v>
      </c>
      <c r="Y907" s="1" t="s">
        <v>4860</v>
      </c>
      <c r="Z907" s="5">
        <v>119</v>
      </c>
      <c r="AA907" s="1" t="s">
        <v>3403</v>
      </c>
      <c r="AB907" s="1"/>
      <c r="AC907" s="1"/>
      <c r="AD907" s="1"/>
      <c r="AE907" s="1" t="s">
        <v>3788</v>
      </c>
      <c r="AF907" s="1" t="s">
        <v>9</v>
      </c>
      <c r="AG907" s="4">
        <v>11</v>
      </c>
      <c r="AH907" s="1"/>
      <c r="AI907" s="6">
        <v>44926</v>
      </c>
    </row>
    <row r="908" spans="1:35" x14ac:dyDescent="0.3">
      <c r="A908" s="1" t="s">
        <v>1342</v>
      </c>
      <c r="B908" s="2" t="str">
        <f>HYPERLINK("https://my.zakupki.prom.ua/remote/dispatcher/state_purchase_view/34681259")</f>
        <v>https://my.zakupki.prom.ua/remote/dispatcher/state_purchase_view/34681259</v>
      </c>
      <c r="C908" s="1" t="s">
        <v>3825</v>
      </c>
      <c r="D908" s="1" t="s">
        <v>825</v>
      </c>
      <c r="E908" s="4">
        <v>8</v>
      </c>
      <c r="F908" s="5">
        <v>28600</v>
      </c>
      <c r="G908" s="1" t="s">
        <v>4989</v>
      </c>
      <c r="H908" s="1" t="s">
        <v>352</v>
      </c>
      <c r="I908" s="1" t="s">
        <v>4715</v>
      </c>
      <c r="J908" s="5">
        <v>228800</v>
      </c>
      <c r="K908" s="1" t="s">
        <v>3394</v>
      </c>
      <c r="L908" s="5">
        <v>2288</v>
      </c>
      <c r="M908" s="1" t="s">
        <v>2308</v>
      </c>
      <c r="N908" s="1" t="s">
        <v>3403</v>
      </c>
      <c r="O908" s="1" t="s">
        <v>2521</v>
      </c>
      <c r="P908" s="1" t="s">
        <v>2762</v>
      </c>
      <c r="Q908" s="1" t="s">
        <v>3325</v>
      </c>
      <c r="R908" s="1" t="s">
        <v>4081</v>
      </c>
      <c r="S908" s="1" t="s">
        <v>4937</v>
      </c>
      <c r="T908" s="6">
        <v>44593</v>
      </c>
      <c r="U908" s="6">
        <v>44600</v>
      </c>
      <c r="V908" s="7">
        <v>0.70833333333333337</v>
      </c>
      <c r="W908" s="6">
        <v>44603</v>
      </c>
      <c r="X908" s="7">
        <v>0.70833333333333337</v>
      </c>
      <c r="Y908" s="1" t="s">
        <v>4860</v>
      </c>
      <c r="Z908" s="5">
        <v>510</v>
      </c>
      <c r="AA908" s="1" t="s">
        <v>3403</v>
      </c>
      <c r="AB908" s="1"/>
      <c r="AC908" s="1"/>
      <c r="AD908" s="1"/>
      <c r="AE908" s="1" t="s">
        <v>3814</v>
      </c>
      <c r="AF908" s="1" t="s">
        <v>9</v>
      </c>
      <c r="AG908" s="1" t="s">
        <v>9</v>
      </c>
      <c r="AH908" s="1"/>
      <c r="AI908" s="1"/>
    </row>
    <row r="909" spans="1:35" x14ac:dyDescent="0.3">
      <c r="A909" s="1" t="s">
        <v>1801</v>
      </c>
      <c r="B909" s="2" t="str">
        <f>HYPERLINK("https://my.zakupki.prom.ua/remote/dispatcher/state_purchase_view/34681244")</f>
        <v>https://my.zakupki.prom.ua/remote/dispatcher/state_purchase_view/34681244</v>
      </c>
      <c r="C909" s="1" t="s">
        <v>3385</v>
      </c>
      <c r="D909" s="1" t="s">
        <v>373</v>
      </c>
      <c r="E909" s="4">
        <v>2900</v>
      </c>
      <c r="F909" s="5">
        <v>30</v>
      </c>
      <c r="G909" s="1" t="s">
        <v>4908</v>
      </c>
      <c r="H909" s="1" t="s">
        <v>403</v>
      </c>
      <c r="I909" s="1" t="s">
        <v>3407</v>
      </c>
      <c r="J909" s="5">
        <v>87000</v>
      </c>
      <c r="K909" s="1" t="s">
        <v>3394</v>
      </c>
      <c r="L909" s="5">
        <v>870</v>
      </c>
      <c r="M909" s="1" t="s">
        <v>2308</v>
      </c>
      <c r="N909" s="1" t="s">
        <v>3983</v>
      </c>
      <c r="O909" s="1" t="s">
        <v>2521</v>
      </c>
      <c r="P909" s="1" t="s">
        <v>2762</v>
      </c>
      <c r="Q909" s="1" t="s">
        <v>2528</v>
      </c>
      <c r="R909" s="1" t="s">
        <v>4511</v>
      </c>
      <c r="S909" s="1" t="s">
        <v>4937</v>
      </c>
      <c r="T909" s="6">
        <v>44593</v>
      </c>
      <c r="U909" s="6">
        <v>44599</v>
      </c>
      <c r="V909" s="7">
        <v>0.41666666666666669</v>
      </c>
      <c r="W909" s="6">
        <v>44602</v>
      </c>
      <c r="X909" s="7">
        <v>0.5</v>
      </c>
      <c r="Y909" s="1" t="s">
        <v>4860</v>
      </c>
      <c r="Z909" s="5">
        <v>340</v>
      </c>
      <c r="AA909" s="1" t="s">
        <v>3403</v>
      </c>
      <c r="AB909" s="1"/>
      <c r="AC909" s="1"/>
      <c r="AD909" s="1"/>
      <c r="AE909" s="1" t="s">
        <v>3782</v>
      </c>
      <c r="AF909" s="1" t="s">
        <v>9</v>
      </c>
      <c r="AG909" s="1" t="s">
        <v>9</v>
      </c>
      <c r="AH909" s="1"/>
      <c r="AI909" s="6">
        <v>44926</v>
      </c>
    </row>
    <row r="910" spans="1:35" x14ac:dyDescent="0.3">
      <c r="A910" s="1" t="s">
        <v>1849</v>
      </c>
      <c r="B910" s="2" t="str">
        <f>HYPERLINK("https://my.zakupki.prom.ua/remote/dispatcher/state_purchase_view/34681235")</f>
        <v>https://my.zakupki.prom.ua/remote/dispatcher/state_purchase_view/34681235</v>
      </c>
      <c r="C910" s="1" t="s">
        <v>3566</v>
      </c>
      <c r="D910" s="1" t="s">
        <v>1247</v>
      </c>
      <c r="E910" s="4">
        <v>1</v>
      </c>
      <c r="F910" s="5">
        <v>75160</v>
      </c>
      <c r="G910" s="1" t="s">
        <v>4940</v>
      </c>
      <c r="H910" s="1" t="s">
        <v>1083</v>
      </c>
      <c r="I910" s="1" t="s">
        <v>2456</v>
      </c>
      <c r="J910" s="5">
        <v>75160</v>
      </c>
      <c r="K910" s="1" t="s">
        <v>3394</v>
      </c>
      <c r="L910" s="5">
        <v>375.8</v>
      </c>
      <c r="M910" s="1" t="s">
        <v>2308</v>
      </c>
      <c r="N910" s="1" t="s">
        <v>3983</v>
      </c>
      <c r="O910" s="1" t="s">
        <v>2521</v>
      </c>
      <c r="P910" s="1" t="s">
        <v>3956</v>
      </c>
      <c r="Q910" s="1" t="s">
        <v>3504</v>
      </c>
      <c r="R910" s="1" t="s">
        <v>4081</v>
      </c>
      <c r="S910" s="1" t="s">
        <v>4937</v>
      </c>
      <c r="T910" s="6">
        <v>44593</v>
      </c>
      <c r="U910" s="6">
        <v>44599</v>
      </c>
      <c r="V910" s="7">
        <v>0.47222222222222221</v>
      </c>
      <c r="W910" s="6">
        <v>44602</v>
      </c>
      <c r="X910" s="7">
        <v>0.47361111111111109</v>
      </c>
      <c r="Y910" s="1" t="s">
        <v>4860</v>
      </c>
      <c r="Z910" s="5">
        <v>340</v>
      </c>
      <c r="AA910" s="1" t="s">
        <v>3403</v>
      </c>
      <c r="AB910" s="1"/>
      <c r="AC910" s="1"/>
      <c r="AD910" s="1"/>
      <c r="AE910" s="1" t="s">
        <v>3755</v>
      </c>
      <c r="AF910" s="1" t="s">
        <v>9</v>
      </c>
      <c r="AG910" s="4">
        <v>2</v>
      </c>
      <c r="AH910" s="1"/>
      <c r="AI910" s="6">
        <v>44926</v>
      </c>
    </row>
    <row r="911" spans="1:35" x14ac:dyDescent="0.3">
      <c r="A911" s="1" t="s">
        <v>1840</v>
      </c>
      <c r="B911" s="2" t="str">
        <f>HYPERLINK("https://my.zakupki.prom.ua/remote/dispatcher/state_purchase_view/34681178")</f>
        <v>https://my.zakupki.prom.ua/remote/dispatcher/state_purchase_view/34681178</v>
      </c>
      <c r="C911" s="1" t="s">
        <v>3381</v>
      </c>
      <c r="D911" s="1" t="s">
        <v>373</v>
      </c>
      <c r="E911" s="1" t="s">
        <v>4903</v>
      </c>
      <c r="F911" s="1" t="s">
        <v>4903</v>
      </c>
      <c r="G911" s="1" t="s">
        <v>4903</v>
      </c>
      <c r="H911" s="1" t="s">
        <v>300</v>
      </c>
      <c r="I911" s="1" t="s">
        <v>2526</v>
      </c>
      <c r="J911" s="5">
        <v>355000</v>
      </c>
      <c r="K911" s="1" t="s">
        <v>3394</v>
      </c>
      <c r="L911" s="5">
        <v>1775</v>
      </c>
      <c r="M911" s="1" t="s">
        <v>2308</v>
      </c>
      <c r="N911" s="1" t="s">
        <v>3983</v>
      </c>
      <c r="O911" s="1" t="s">
        <v>2521</v>
      </c>
      <c r="P911" s="1" t="s">
        <v>2515</v>
      </c>
      <c r="Q911" s="1" t="s">
        <v>3970</v>
      </c>
      <c r="R911" s="1" t="s">
        <v>4298</v>
      </c>
      <c r="S911" s="1" t="s">
        <v>4971</v>
      </c>
      <c r="T911" s="6">
        <v>44593</v>
      </c>
      <c r="U911" s="6">
        <v>44593</v>
      </c>
      <c r="V911" s="7">
        <v>0.47618158953703699</v>
      </c>
      <c r="W911" s="6">
        <v>44609</v>
      </c>
      <c r="X911" s="7">
        <v>0.33333333333333331</v>
      </c>
      <c r="Y911" s="8">
        <v>44610.464826388888</v>
      </c>
      <c r="Z911" s="5">
        <v>510</v>
      </c>
      <c r="AA911" s="1" t="s">
        <v>3403</v>
      </c>
      <c r="AB911" s="1"/>
      <c r="AC911" s="1"/>
      <c r="AD911" s="1"/>
      <c r="AE911" s="1" t="s">
        <v>3797</v>
      </c>
      <c r="AF911" s="1" t="s">
        <v>9</v>
      </c>
      <c r="AG911" s="1" t="s">
        <v>9</v>
      </c>
      <c r="AH911" s="6">
        <v>44621</v>
      </c>
      <c r="AI911" s="6">
        <v>44926</v>
      </c>
    </row>
    <row r="912" spans="1:35" x14ac:dyDescent="0.3">
      <c r="A912" s="1" t="s">
        <v>1839</v>
      </c>
      <c r="B912" s="2" t="str">
        <f>HYPERLINK("https://my.zakupki.prom.ua/remote/dispatcher/state_purchase_lot_view/740631")</f>
        <v>https://my.zakupki.prom.ua/remote/dispatcher/state_purchase_lot_view/740631</v>
      </c>
      <c r="C912" s="1" t="s">
        <v>3877</v>
      </c>
      <c r="D912" s="1" t="s">
        <v>480</v>
      </c>
      <c r="E912" s="4">
        <v>410</v>
      </c>
      <c r="F912" s="5">
        <v>44.35</v>
      </c>
      <c r="G912" s="1" t="s">
        <v>4901</v>
      </c>
      <c r="H912" s="1" t="s">
        <v>1079</v>
      </c>
      <c r="I912" s="1" t="s">
        <v>2435</v>
      </c>
      <c r="J912" s="5">
        <v>22725.8</v>
      </c>
      <c r="K912" s="5">
        <v>18183.5</v>
      </c>
      <c r="L912" s="5">
        <v>90.92</v>
      </c>
      <c r="M912" s="1" t="s">
        <v>2308</v>
      </c>
      <c r="N912" s="1" t="s">
        <v>3983</v>
      </c>
      <c r="O912" s="1" t="s">
        <v>2521</v>
      </c>
      <c r="P912" s="1" t="s">
        <v>3956</v>
      </c>
      <c r="Q912" s="1" t="s">
        <v>2756</v>
      </c>
      <c r="R912" s="1" t="s">
        <v>4081</v>
      </c>
      <c r="S912" s="1" t="s">
        <v>4937</v>
      </c>
      <c r="T912" s="6">
        <v>44593</v>
      </c>
      <c r="U912" s="6">
        <v>44599</v>
      </c>
      <c r="V912" s="7">
        <v>0.5</v>
      </c>
      <c r="W912" s="6">
        <v>44602</v>
      </c>
      <c r="X912" s="7">
        <v>0.5</v>
      </c>
      <c r="Y912" s="1" t="s">
        <v>4860</v>
      </c>
      <c r="Z912" s="5">
        <v>17</v>
      </c>
      <c r="AA912" s="1" t="s">
        <v>3403</v>
      </c>
      <c r="AB912" s="1"/>
      <c r="AC912" s="1"/>
      <c r="AD912" s="1"/>
      <c r="AE912" s="1" t="s">
        <v>3767</v>
      </c>
      <c r="AF912" s="1" t="s">
        <v>9</v>
      </c>
      <c r="AG912" s="1" t="s">
        <v>9</v>
      </c>
      <c r="AH912" s="1"/>
      <c r="AI912" s="6">
        <v>44926</v>
      </c>
    </row>
    <row r="913" spans="1:35" x14ac:dyDescent="0.3">
      <c r="A913" s="1" t="s">
        <v>1839</v>
      </c>
      <c r="B913" s="2" t="str">
        <f>HYPERLINK("https://my.zakupki.prom.ua/remote/dispatcher/state_purchase_lot_view/740632")</f>
        <v>https://my.zakupki.prom.ua/remote/dispatcher/state_purchase_lot_view/740632</v>
      </c>
      <c r="C913" s="1" t="s">
        <v>3876</v>
      </c>
      <c r="D913" s="1" t="s">
        <v>480</v>
      </c>
      <c r="E913" s="4">
        <v>98</v>
      </c>
      <c r="F913" s="5">
        <v>46.35</v>
      </c>
      <c r="G913" s="1" t="s">
        <v>4901</v>
      </c>
      <c r="H913" s="1" t="s">
        <v>1079</v>
      </c>
      <c r="I913" s="1" t="s">
        <v>2435</v>
      </c>
      <c r="J913" s="5">
        <v>22725.8</v>
      </c>
      <c r="K913" s="5">
        <v>4542.3</v>
      </c>
      <c r="L913" s="5">
        <v>22.71</v>
      </c>
      <c r="M913" s="1" t="s">
        <v>2308</v>
      </c>
      <c r="N913" s="1" t="s">
        <v>3983</v>
      </c>
      <c r="O913" s="1" t="s">
        <v>2521</v>
      </c>
      <c r="P913" s="1" t="s">
        <v>3956</v>
      </c>
      <c r="Q913" s="1" t="s">
        <v>2756</v>
      </c>
      <c r="R913" s="1" t="s">
        <v>4081</v>
      </c>
      <c r="S913" s="1" t="s">
        <v>4937</v>
      </c>
      <c r="T913" s="6">
        <v>44593</v>
      </c>
      <c r="U913" s="6">
        <v>44599</v>
      </c>
      <c r="V913" s="7">
        <v>0.5</v>
      </c>
      <c r="W913" s="6">
        <v>44602</v>
      </c>
      <c r="X913" s="7">
        <v>0.5</v>
      </c>
      <c r="Y913" s="1" t="s">
        <v>4860</v>
      </c>
      <c r="Z913" s="5">
        <v>17</v>
      </c>
      <c r="AA913" s="1" t="s">
        <v>3403</v>
      </c>
      <c r="AB913" s="1"/>
      <c r="AC913" s="1"/>
      <c r="AD913" s="1"/>
      <c r="AE913" s="1" t="s">
        <v>3767</v>
      </c>
      <c r="AF913" s="1" t="s">
        <v>9</v>
      </c>
      <c r="AG913" s="1" t="s">
        <v>9</v>
      </c>
      <c r="AH913" s="1"/>
      <c r="AI913" s="6">
        <v>44926</v>
      </c>
    </row>
    <row r="914" spans="1:35" x14ac:dyDescent="0.3">
      <c r="A914" s="1" t="s">
        <v>1838</v>
      </c>
      <c r="B914" s="2" t="str">
        <f>HYPERLINK("https://my.zakupki.prom.ua/remote/dispatcher/state_purchase_view/34681175")</f>
        <v>https://my.zakupki.prom.ua/remote/dispatcher/state_purchase_view/34681175</v>
      </c>
      <c r="C914" s="1" t="s">
        <v>493</v>
      </c>
      <c r="D914" s="1" t="s">
        <v>494</v>
      </c>
      <c r="E914" s="4">
        <v>6815</v>
      </c>
      <c r="F914" s="5">
        <v>22</v>
      </c>
      <c r="G914" s="1" t="s">
        <v>4991</v>
      </c>
      <c r="H914" s="1" t="s">
        <v>1029</v>
      </c>
      <c r="I914" s="1" t="s">
        <v>2432</v>
      </c>
      <c r="J914" s="5">
        <v>149930</v>
      </c>
      <c r="K914" s="1" t="s">
        <v>3394</v>
      </c>
      <c r="L914" s="5">
        <v>749.65</v>
      </c>
      <c r="M914" s="1" t="s">
        <v>2308</v>
      </c>
      <c r="N914" s="1" t="s">
        <v>3983</v>
      </c>
      <c r="O914" s="1" t="s">
        <v>2521</v>
      </c>
      <c r="P914" s="1" t="s">
        <v>3956</v>
      </c>
      <c r="Q914" s="1" t="s">
        <v>2497</v>
      </c>
      <c r="R914" s="1" t="s">
        <v>4081</v>
      </c>
      <c r="S914" s="1" t="s">
        <v>4937</v>
      </c>
      <c r="T914" s="6">
        <v>44593</v>
      </c>
      <c r="U914" s="6">
        <v>44599</v>
      </c>
      <c r="V914" s="7">
        <v>1.3888888888888889E-3</v>
      </c>
      <c r="W914" s="6">
        <v>44602</v>
      </c>
      <c r="X914" s="7">
        <v>0.99930555555555556</v>
      </c>
      <c r="Y914" s="1" t="s">
        <v>4860</v>
      </c>
      <c r="Z914" s="5">
        <v>340</v>
      </c>
      <c r="AA914" s="1" t="s">
        <v>3403</v>
      </c>
      <c r="AB914" s="1"/>
      <c r="AC914" s="1"/>
      <c r="AD914" s="1"/>
      <c r="AE914" s="1" t="s">
        <v>3779</v>
      </c>
      <c r="AF914" s="1" t="s">
        <v>9</v>
      </c>
      <c r="AG914" s="4">
        <v>2</v>
      </c>
      <c r="AH914" s="1"/>
      <c r="AI914" s="6">
        <v>44926</v>
      </c>
    </row>
    <row r="915" spans="1:35" x14ac:dyDescent="0.3">
      <c r="A915" s="1" t="s">
        <v>1837</v>
      </c>
      <c r="B915" s="2" t="str">
        <f>HYPERLINK("https://my.zakupki.prom.ua/remote/dispatcher/state_purchase_view/34681156")</f>
        <v>https://my.zakupki.prom.ua/remote/dispatcher/state_purchase_view/34681156</v>
      </c>
      <c r="C915" s="1" t="s">
        <v>2317</v>
      </c>
      <c r="D915" s="1" t="s">
        <v>225</v>
      </c>
      <c r="E915" s="1" t="s">
        <v>4903</v>
      </c>
      <c r="F915" s="1" t="s">
        <v>4903</v>
      </c>
      <c r="G915" s="1" t="s">
        <v>4903</v>
      </c>
      <c r="H915" s="1" t="s">
        <v>566</v>
      </c>
      <c r="I915" s="1" t="s">
        <v>2452</v>
      </c>
      <c r="J915" s="5">
        <v>125000</v>
      </c>
      <c r="K915" s="1" t="s">
        <v>3394</v>
      </c>
      <c r="L915" s="5">
        <v>625</v>
      </c>
      <c r="M915" s="1" t="s">
        <v>2308</v>
      </c>
      <c r="N915" s="1" t="s">
        <v>3983</v>
      </c>
      <c r="O915" s="1" t="s">
        <v>2521</v>
      </c>
      <c r="P915" s="1" t="s">
        <v>3956</v>
      </c>
      <c r="Q915" s="1" t="s">
        <v>2808</v>
      </c>
      <c r="R915" s="1" t="s">
        <v>4547</v>
      </c>
      <c r="S915" s="1" t="s">
        <v>4937</v>
      </c>
      <c r="T915" s="6">
        <v>44593</v>
      </c>
      <c r="U915" s="6">
        <v>44599</v>
      </c>
      <c r="V915" s="7">
        <v>0.47499999999999998</v>
      </c>
      <c r="W915" s="6">
        <v>44602</v>
      </c>
      <c r="X915" s="7">
        <v>0</v>
      </c>
      <c r="Y915" s="1" t="s">
        <v>4860</v>
      </c>
      <c r="Z915" s="5">
        <v>340</v>
      </c>
      <c r="AA915" s="1" t="s">
        <v>3403</v>
      </c>
      <c r="AB915" s="1"/>
      <c r="AC915" s="1"/>
      <c r="AD915" s="1"/>
      <c r="AE915" s="1" t="s">
        <v>3765</v>
      </c>
      <c r="AF915" s="1" t="s">
        <v>9</v>
      </c>
      <c r="AG915" s="4">
        <v>1</v>
      </c>
      <c r="AH915" s="1"/>
      <c r="AI915" s="6">
        <v>44712</v>
      </c>
    </row>
    <row r="916" spans="1:35" x14ac:dyDescent="0.3">
      <c r="A916" s="1" t="s">
        <v>1832</v>
      </c>
      <c r="B916" s="2" t="str">
        <f>HYPERLINK("https://my.zakupki.prom.ua/remote/dispatcher/state_purchase_view/34681081")</f>
        <v>https://my.zakupki.prom.ua/remote/dispatcher/state_purchase_view/34681081</v>
      </c>
      <c r="C916" s="1" t="s">
        <v>3420</v>
      </c>
      <c r="D916" s="1" t="s">
        <v>213</v>
      </c>
      <c r="E916" s="1" t="s">
        <v>4903</v>
      </c>
      <c r="F916" s="1" t="s">
        <v>4903</v>
      </c>
      <c r="G916" s="1" t="s">
        <v>4903</v>
      </c>
      <c r="H916" s="1" t="s">
        <v>574</v>
      </c>
      <c r="I916" s="1" t="s">
        <v>3200</v>
      </c>
      <c r="J916" s="5">
        <v>212070</v>
      </c>
      <c r="K916" s="1" t="s">
        <v>3394</v>
      </c>
      <c r="L916" s="5">
        <v>2120.6999999999998</v>
      </c>
      <c r="M916" s="1" t="s">
        <v>2308</v>
      </c>
      <c r="N916" s="1" t="s">
        <v>3983</v>
      </c>
      <c r="O916" s="1" t="s">
        <v>2521</v>
      </c>
      <c r="P916" s="1" t="s">
        <v>2515</v>
      </c>
      <c r="Q916" s="1" t="s">
        <v>3238</v>
      </c>
      <c r="R916" s="1" t="s">
        <v>4425</v>
      </c>
      <c r="S916" s="1" t="s">
        <v>4971</v>
      </c>
      <c r="T916" s="6">
        <v>44593</v>
      </c>
      <c r="U916" s="6">
        <v>44593</v>
      </c>
      <c r="V916" s="7">
        <v>0.47514956094907407</v>
      </c>
      <c r="W916" s="6">
        <v>44609</v>
      </c>
      <c r="X916" s="7">
        <v>0.41666666666666669</v>
      </c>
      <c r="Y916" s="8">
        <v>44610.528796296298</v>
      </c>
      <c r="Z916" s="5">
        <v>510</v>
      </c>
      <c r="AA916" s="1" t="s">
        <v>3403</v>
      </c>
      <c r="AB916" s="1"/>
      <c r="AC916" s="1"/>
      <c r="AD916" s="1"/>
      <c r="AE916" s="1" t="s">
        <v>3788</v>
      </c>
      <c r="AF916" s="1" t="s">
        <v>9</v>
      </c>
      <c r="AG916" s="4">
        <v>2</v>
      </c>
      <c r="AH916" s="1"/>
      <c r="AI916" s="6">
        <v>44925</v>
      </c>
    </row>
    <row r="917" spans="1:35" x14ac:dyDescent="0.3">
      <c r="A917" s="1" t="s">
        <v>1831</v>
      </c>
      <c r="B917" s="2" t="str">
        <f>HYPERLINK("https://my.zakupki.prom.ua/remote/dispatcher/state_purchase_view/34681082")</f>
        <v>https://my.zakupki.prom.ua/remote/dispatcher/state_purchase_view/34681082</v>
      </c>
      <c r="C917" s="1" t="s">
        <v>3829</v>
      </c>
      <c r="D917" s="1" t="s">
        <v>468</v>
      </c>
      <c r="E917" s="4">
        <v>2500</v>
      </c>
      <c r="F917" s="5">
        <v>73.98</v>
      </c>
      <c r="G917" s="1" t="s">
        <v>4901</v>
      </c>
      <c r="H917" s="1" t="s">
        <v>145</v>
      </c>
      <c r="I917" s="1" t="s">
        <v>4741</v>
      </c>
      <c r="J917" s="5">
        <v>184950</v>
      </c>
      <c r="K917" s="1" t="s">
        <v>3394</v>
      </c>
      <c r="L917" s="5">
        <v>924.75</v>
      </c>
      <c r="M917" s="1" t="s">
        <v>2308</v>
      </c>
      <c r="N917" s="1" t="s">
        <v>3983</v>
      </c>
      <c r="O917" s="1" t="s">
        <v>2521</v>
      </c>
      <c r="P917" s="1" t="s">
        <v>3956</v>
      </c>
      <c r="Q917" s="1" t="s">
        <v>2761</v>
      </c>
      <c r="R917" s="1" t="s">
        <v>4081</v>
      </c>
      <c r="S917" s="1" t="s">
        <v>4937</v>
      </c>
      <c r="T917" s="6">
        <v>44593</v>
      </c>
      <c r="U917" s="6">
        <v>44599</v>
      </c>
      <c r="V917" s="7">
        <v>0</v>
      </c>
      <c r="W917" s="6">
        <v>44602</v>
      </c>
      <c r="X917" s="7">
        <v>0.99930555555555556</v>
      </c>
      <c r="Y917" s="1" t="s">
        <v>4860</v>
      </c>
      <c r="Z917" s="5">
        <v>340</v>
      </c>
      <c r="AA917" s="1" t="s">
        <v>3403</v>
      </c>
      <c r="AB917" s="1"/>
      <c r="AC917" s="1"/>
      <c r="AD917" s="1"/>
      <c r="AE917" s="1" t="s">
        <v>3787</v>
      </c>
      <c r="AF917" s="1" t="s">
        <v>9</v>
      </c>
      <c r="AG917" s="4">
        <v>10</v>
      </c>
      <c r="AH917" s="1"/>
      <c r="AI917" s="6">
        <v>44742</v>
      </c>
    </row>
    <row r="918" spans="1:35" x14ac:dyDescent="0.3">
      <c r="A918" s="1" t="s">
        <v>1826</v>
      </c>
      <c r="B918" s="2" t="str">
        <f>HYPERLINK("https://my.zakupki.prom.ua/remote/dispatcher/state_purchase_view/34681028")</f>
        <v>https://my.zakupki.prom.ua/remote/dispatcher/state_purchase_view/34681028</v>
      </c>
      <c r="C918" s="1" t="s">
        <v>3060</v>
      </c>
      <c r="D918" s="1" t="s">
        <v>766</v>
      </c>
      <c r="E918" s="1" t="s">
        <v>4903</v>
      </c>
      <c r="F918" s="1" t="s">
        <v>4903</v>
      </c>
      <c r="G918" s="1" t="s">
        <v>4903</v>
      </c>
      <c r="H918" s="1" t="s">
        <v>1025</v>
      </c>
      <c r="I918" s="1" t="s">
        <v>2892</v>
      </c>
      <c r="J918" s="5">
        <v>226600</v>
      </c>
      <c r="K918" s="1" t="s">
        <v>3394</v>
      </c>
      <c r="L918" s="5">
        <v>1133</v>
      </c>
      <c r="M918" s="1" t="s">
        <v>2308</v>
      </c>
      <c r="N918" s="1" t="s">
        <v>3983</v>
      </c>
      <c r="O918" s="1" t="s">
        <v>2521</v>
      </c>
      <c r="P918" s="1" t="s">
        <v>2515</v>
      </c>
      <c r="Q918" s="1" t="s">
        <v>2761</v>
      </c>
      <c r="R918" s="1" t="s">
        <v>4146</v>
      </c>
      <c r="S918" s="1" t="s">
        <v>4971</v>
      </c>
      <c r="T918" s="6">
        <v>44593</v>
      </c>
      <c r="U918" s="6">
        <v>44593</v>
      </c>
      <c r="V918" s="7">
        <v>0.47426735914351847</v>
      </c>
      <c r="W918" s="6">
        <v>44609</v>
      </c>
      <c r="X918" s="7">
        <v>0.58333333333333337</v>
      </c>
      <c r="Y918" s="8">
        <v>44610.602500000001</v>
      </c>
      <c r="Z918" s="5">
        <v>510</v>
      </c>
      <c r="AA918" s="1" t="s">
        <v>3403</v>
      </c>
      <c r="AB918" s="1"/>
      <c r="AC918" s="1"/>
      <c r="AD918" s="1"/>
      <c r="AE918" s="1" t="s">
        <v>3787</v>
      </c>
      <c r="AF918" s="1" t="s">
        <v>9</v>
      </c>
      <c r="AG918" s="4">
        <v>3</v>
      </c>
      <c r="AH918" s="1"/>
      <c r="AI918" s="6">
        <v>44926</v>
      </c>
    </row>
    <row r="919" spans="1:35" x14ac:dyDescent="0.3">
      <c r="A919" s="1" t="s">
        <v>1825</v>
      </c>
      <c r="B919" s="2" t="str">
        <f>HYPERLINK("https://my.zakupki.prom.ua/remote/dispatcher/state_purchase_view/34681027")</f>
        <v>https://my.zakupki.prom.ua/remote/dispatcher/state_purchase_view/34681027</v>
      </c>
      <c r="C919" s="1" t="s">
        <v>3857</v>
      </c>
      <c r="D919" s="1" t="s">
        <v>453</v>
      </c>
      <c r="E919" s="4">
        <v>1100</v>
      </c>
      <c r="F919" s="5">
        <v>132.27000000000001</v>
      </c>
      <c r="G919" s="1" t="s">
        <v>4901</v>
      </c>
      <c r="H919" s="1" t="s">
        <v>570</v>
      </c>
      <c r="I919" s="1" t="s">
        <v>2802</v>
      </c>
      <c r="J919" s="5">
        <v>145500</v>
      </c>
      <c r="K919" s="1" t="s">
        <v>3394</v>
      </c>
      <c r="L919" s="5">
        <v>727.5</v>
      </c>
      <c r="M919" s="1" t="s">
        <v>2308</v>
      </c>
      <c r="N919" s="1" t="s">
        <v>3983</v>
      </c>
      <c r="O919" s="1" t="s">
        <v>2521</v>
      </c>
      <c r="P919" s="1" t="s">
        <v>3956</v>
      </c>
      <c r="Q919" s="1" t="s">
        <v>3035</v>
      </c>
      <c r="R919" s="1" t="s">
        <v>4180</v>
      </c>
      <c r="S919" s="1" t="s">
        <v>4937</v>
      </c>
      <c r="T919" s="6">
        <v>44593</v>
      </c>
      <c r="U919" s="6">
        <v>44600</v>
      </c>
      <c r="V919" s="7">
        <v>0.5</v>
      </c>
      <c r="W919" s="6">
        <v>44603</v>
      </c>
      <c r="X919" s="7">
        <v>0.625</v>
      </c>
      <c r="Y919" s="1" t="s">
        <v>4860</v>
      </c>
      <c r="Z919" s="5">
        <v>340</v>
      </c>
      <c r="AA919" s="1" t="s">
        <v>3403</v>
      </c>
      <c r="AB919" s="1"/>
      <c r="AC919" s="1"/>
      <c r="AD919" s="1"/>
      <c r="AE919" s="1" t="s">
        <v>3767</v>
      </c>
      <c r="AF919" s="1" t="s">
        <v>9</v>
      </c>
      <c r="AG919" s="1" t="s">
        <v>9</v>
      </c>
      <c r="AH919" s="1"/>
      <c r="AI919" s="6">
        <v>44926</v>
      </c>
    </row>
    <row r="920" spans="1:35" x14ac:dyDescent="0.3">
      <c r="A920" s="1" t="s">
        <v>1824</v>
      </c>
      <c r="B920" s="2" t="str">
        <f>HYPERLINK("https://my.zakupki.prom.ua/remote/dispatcher/state_purchase_view/34681024")</f>
        <v>https://my.zakupki.prom.ua/remote/dispatcher/state_purchase_view/34681024</v>
      </c>
      <c r="C920" s="1" t="s">
        <v>3509</v>
      </c>
      <c r="D920" s="1" t="s">
        <v>1151</v>
      </c>
      <c r="E920" s="4">
        <v>1</v>
      </c>
      <c r="F920" s="5">
        <v>30600</v>
      </c>
      <c r="G920" s="1" t="s">
        <v>4940</v>
      </c>
      <c r="H920" s="1" t="s">
        <v>564</v>
      </c>
      <c r="I920" s="1" t="s">
        <v>2755</v>
      </c>
      <c r="J920" s="5">
        <v>30600</v>
      </c>
      <c r="K920" s="1" t="s">
        <v>3394</v>
      </c>
      <c r="L920" s="5">
        <v>153</v>
      </c>
      <c r="M920" s="1" t="s">
        <v>2308</v>
      </c>
      <c r="N920" s="1" t="s">
        <v>3983</v>
      </c>
      <c r="O920" s="1" t="s">
        <v>2521</v>
      </c>
      <c r="P920" s="1" t="s">
        <v>3956</v>
      </c>
      <c r="Q920" s="1" t="s">
        <v>2756</v>
      </c>
      <c r="R920" s="1" t="s">
        <v>4353</v>
      </c>
      <c r="S920" s="1" t="s">
        <v>4937</v>
      </c>
      <c r="T920" s="6">
        <v>44593</v>
      </c>
      <c r="U920" s="6">
        <v>44599</v>
      </c>
      <c r="V920" s="7">
        <v>0.47222222222222221</v>
      </c>
      <c r="W920" s="6">
        <v>44602</v>
      </c>
      <c r="X920" s="7">
        <v>0.47222222222222221</v>
      </c>
      <c r="Y920" s="1" t="s">
        <v>4860</v>
      </c>
      <c r="Z920" s="5">
        <v>119</v>
      </c>
      <c r="AA920" s="1" t="s">
        <v>3403</v>
      </c>
      <c r="AB920" s="1"/>
      <c r="AC920" s="1"/>
      <c r="AD920" s="1"/>
      <c r="AE920" s="1" t="s">
        <v>3756</v>
      </c>
      <c r="AF920" s="1" t="s">
        <v>9</v>
      </c>
      <c r="AG920" s="1" t="s">
        <v>9</v>
      </c>
      <c r="AH920" s="1"/>
      <c r="AI920" s="6">
        <v>44926</v>
      </c>
    </row>
    <row r="921" spans="1:35" x14ac:dyDescent="0.3">
      <c r="A921" s="1" t="s">
        <v>1819</v>
      </c>
      <c r="B921" s="2" t="str">
        <f>HYPERLINK("https://my.zakupki.prom.ua/remote/dispatcher/state_purchase_view/34681011")</f>
        <v>https://my.zakupki.prom.ua/remote/dispatcher/state_purchase_view/34681011</v>
      </c>
      <c r="C921" s="1" t="s">
        <v>2610</v>
      </c>
      <c r="D921" s="1" t="s">
        <v>388</v>
      </c>
      <c r="E921" s="4">
        <v>90</v>
      </c>
      <c r="F921" s="5">
        <v>3492.47</v>
      </c>
      <c r="G921" s="1" t="s">
        <v>4875</v>
      </c>
      <c r="H921" s="1" t="s">
        <v>657</v>
      </c>
      <c r="I921" s="1" t="s">
        <v>3379</v>
      </c>
      <c r="J921" s="5">
        <v>314322.3</v>
      </c>
      <c r="K921" s="1" t="s">
        <v>3394</v>
      </c>
      <c r="L921" s="5">
        <v>1571.61</v>
      </c>
      <c r="M921" s="1" t="s">
        <v>2308</v>
      </c>
      <c r="N921" s="1" t="s">
        <v>3983</v>
      </c>
      <c r="O921" s="1" t="s">
        <v>2521</v>
      </c>
      <c r="P921" s="1" t="s">
        <v>2515</v>
      </c>
      <c r="Q921" s="1" t="s">
        <v>4794</v>
      </c>
      <c r="R921" s="1" t="s">
        <v>4441</v>
      </c>
      <c r="S921" s="1" t="s">
        <v>4971</v>
      </c>
      <c r="T921" s="6">
        <v>44593</v>
      </c>
      <c r="U921" s="6">
        <v>44593</v>
      </c>
      <c r="V921" s="7">
        <v>0.47393568192129631</v>
      </c>
      <c r="W921" s="6">
        <v>44609</v>
      </c>
      <c r="X921" s="7">
        <v>0.41666666666666669</v>
      </c>
      <c r="Y921" s="8">
        <v>44610.615069444444</v>
      </c>
      <c r="Z921" s="5">
        <v>510</v>
      </c>
      <c r="AA921" s="1" t="s">
        <v>3403</v>
      </c>
      <c r="AB921" s="1"/>
      <c r="AC921" s="1"/>
      <c r="AD921" s="1"/>
      <c r="AE921" s="1" t="s">
        <v>3792</v>
      </c>
      <c r="AF921" s="1" t="s">
        <v>9</v>
      </c>
      <c r="AG921" s="1" t="s">
        <v>9</v>
      </c>
      <c r="AH921" s="1"/>
      <c r="AI921" s="6">
        <v>44926</v>
      </c>
    </row>
    <row r="922" spans="1:35" x14ac:dyDescent="0.3">
      <c r="A922" s="1" t="s">
        <v>1817</v>
      </c>
      <c r="B922" s="2" t="str">
        <f>HYPERLINK("https://my.zakupki.prom.ua/remote/dispatcher/state_purchase_view/34680969")</f>
        <v>https://my.zakupki.prom.ua/remote/dispatcher/state_purchase_view/34680969</v>
      </c>
      <c r="C922" s="1" t="s">
        <v>3438</v>
      </c>
      <c r="D922" s="1" t="s">
        <v>1256</v>
      </c>
      <c r="E922" s="4">
        <v>32</v>
      </c>
      <c r="F922" s="5">
        <v>4375</v>
      </c>
      <c r="G922" s="1" t="s">
        <v>4940</v>
      </c>
      <c r="H922" s="1" t="s">
        <v>329</v>
      </c>
      <c r="I922" s="1" t="s">
        <v>2721</v>
      </c>
      <c r="J922" s="5">
        <v>140000</v>
      </c>
      <c r="K922" s="1" t="s">
        <v>3394</v>
      </c>
      <c r="L922" s="5">
        <v>700</v>
      </c>
      <c r="M922" s="1" t="s">
        <v>2308</v>
      </c>
      <c r="N922" s="1" t="s">
        <v>3983</v>
      </c>
      <c r="O922" s="1" t="s">
        <v>2521</v>
      </c>
      <c r="P922" s="1" t="s">
        <v>3956</v>
      </c>
      <c r="Q922" s="1" t="s">
        <v>4911</v>
      </c>
      <c r="R922" s="1" t="s">
        <v>4081</v>
      </c>
      <c r="S922" s="1" t="s">
        <v>4937</v>
      </c>
      <c r="T922" s="6">
        <v>44593</v>
      </c>
      <c r="U922" s="6">
        <v>44599</v>
      </c>
      <c r="V922" s="7">
        <v>0.47222222222222221</v>
      </c>
      <c r="W922" s="6">
        <v>44602</v>
      </c>
      <c r="X922" s="7">
        <v>0.47222222222222221</v>
      </c>
      <c r="Y922" s="1" t="s">
        <v>4860</v>
      </c>
      <c r="Z922" s="5">
        <v>340</v>
      </c>
      <c r="AA922" s="1" t="s">
        <v>3403</v>
      </c>
      <c r="AB922" s="1"/>
      <c r="AC922" s="1"/>
      <c r="AD922" s="1"/>
      <c r="AE922" s="1" t="s">
        <v>3754</v>
      </c>
      <c r="AF922" s="1" t="s">
        <v>9</v>
      </c>
      <c r="AG922" s="4">
        <v>9</v>
      </c>
      <c r="AH922" s="1"/>
      <c r="AI922" s="6">
        <v>44926</v>
      </c>
    </row>
    <row r="923" spans="1:35" x14ac:dyDescent="0.3">
      <c r="A923" s="1" t="s">
        <v>1338</v>
      </c>
      <c r="B923" s="2" t="str">
        <f>HYPERLINK("https://my.zakupki.prom.ua/remote/dispatcher/state_purchase_view/34680960")</f>
        <v>https://my.zakupki.prom.ua/remote/dispatcher/state_purchase_view/34680960</v>
      </c>
      <c r="C923" s="1" t="s">
        <v>2823</v>
      </c>
      <c r="D923" s="1" t="s">
        <v>857</v>
      </c>
      <c r="E923" s="1" t="s">
        <v>4903</v>
      </c>
      <c r="F923" s="1" t="s">
        <v>4903</v>
      </c>
      <c r="G923" s="1" t="s">
        <v>4903</v>
      </c>
      <c r="H923" s="1" t="s">
        <v>357</v>
      </c>
      <c r="I923" s="1" t="s">
        <v>2587</v>
      </c>
      <c r="J923" s="5">
        <v>39200</v>
      </c>
      <c r="K923" s="1" t="s">
        <v>3394</v>
      </c>
      <c r="L923" s="5">
        <v>392</v>
      </c>
      <c r="M923" s="1" t="s">
        <v>2308</v>
      </c>
      <c r="N923" s="1" t="s">
        <v>3403</v>
      </c>
      <c r="O923" s="1" t="s">
        <v>2521</v>
      </c>
      <c r="P923" s="1" t="s">
        <v>2762</v>
      </c>
      <c r="Q923" s="1" t="s">
        <v>4805</v>
      </c>
      <c r="R923" s="1" t="s">
        <v>4081</v>
      </c>
      <c r="S923" s="1" t="s">
        <v>4937</v>
      </c>
      <c r="T923" s="6">
        <v>44593</v>
      </c>
      <c r="U923" s="6">
        <v>44597</v>
      </c>
      <c r="V923" s="7">
        <v>0.71527777777777779</v>
      </c>
      <c r="W923" s="6">
        <v>44601</v>
      </c>
      <c r="X923" s="7">
        <v>0.70833333333333337</v>
      </c>
      <c r="Y923" s="1" t="s">
        <v>4860</v>
      </c>
      <c r="Z923" s="5">
        <v>119</v>
      </c>
      <c r="AA923" s="1" t="s">
        <v>3403</v>
      </c>
      <c r="AB923" s="1"/>
      <c r="AC923" s="1"/>
      <c r="AD923" s="1"/>
      <c r="AE923" s="1" t="s">
        <v>3788</v>
      </c>
      <c r="AF923" s="1" t="s">
        <v>9</v>
      </c>
      <c r="AG923" s="1" t="s">
        <v>9</v>
      </c>
      <c r="AH923" s="6">
        <v>44613</v>
      </c>
      <c r="AI923" s="6">
        <v>44926</v>
      </c>
    </row>
    <row r="924" spans="1:35" x14ac:dyDescent="0.3">
      <c r="A924" s="1" t="s">
        <v>1501</v>
      </c>
      <c r="B924" s="2" t="str">
        <f>HYPERLINK("https://my.zakupki.prom.ua/remote/dispatcher/state_purchase_view/34680956")</f>
        <v>https://my.zakupki.prom.ua/remote/dispatcher/state_purchase_view/34680956</v>
      </c>
      <c r="C924" s="1" t="s">
        <v>2775</v>
      </c>
      <c r="D924" s="1" t="s">
        <v>387</v>
      </c>
      <c r="E924" s="4">
        <v>13000</v>
      </c>
      <c r="F924" s="5">
        <v>6.61</v>
      </c>
      <c r="G924" s="1" t="s">
        <v>3235</v>
      </c>
      <c r="H924" s="1" t="s">
        <v>915</v>
      </c>
      <c r="I924" s="1" t="s">
        <v>3392</v>
      </c>
      <c r="J924" s="5">
        <v>85900</v>
      </c>
      <c r="K924" s="1" t="s">
        <v>3394</v>
      </c>
      <c r="L924" s="5">
        <v>429.5</v>
      </c>
      <c r="M924" s="1" t="s">
        <v>2308</v>
      </c>
      <c r="N924" s="1" t="s">
        <v>3983</v>
      </c>
      <c r="O924" s="1" t="s">
        <v>2521</v>
      </c>
      <c r="P924" s="1" t="s">
        <v>3956</v>
      </c>
      <c r="Q924" s="1" t="s">
        <v>4794</v>
      </c>
      <c r="R924" s="1" t="s">
        <v>4169</v>
      </c>
      <c r="S924" s="1" t="s">
        <v>4937</v>
      </c>
      <c r="T924" s="6">
        <v>44593</v>
      </c>
      <c r="U924" s="6">
        <v>44599</v>
      </c>
      <c r="V924" s="7">
        <v>0.41666666666666669</v>
      </c>
      <c r="W924" s="6">
        <v>44607</v>
      </c>
      <c r="X924" s="7">
        <v>0</v>
      </c>
      <c r="Y924" s="1" t="s">
        <v>4860</v>
      </c>
      <c r="Z924" s="5">
        <v>340</v>
      </c>
      <c r="AA924" s="1" t="s">
        <v>3403</v>
      </c>
      <c r="AB924" s="1"/>
      <c r="AC924" s="1"/>
      <c r="AD924" s="1"/>
      <c r="AE924" s="1" t="s">
        <v>3782</v>
      </c>
      <c r="AF924" s="1" t="s">
        <v>9</v>
      </c>
      <c r="AG924" s="1" t="s">
        <v>9</v>
      </c>
      <c r="AH924" s="1"/>
      <c r="AI924" s="6">
        <v>44926</v>
      </c>
    </row>
    <row r="925" spans="1:35" x14ac:dyDescent="0.3">
      <c r="A925" s="1" t="s">
        <v>1431</v>
      </c>
      <c r="B925" s="2" t="str">
        <f>HYPERLINK("https://my.zakupki.prom.ua/remote/dispatcher/state_purchase_view/34680938")</f>
        <v>https://my.zakupki.prom.ua/remote/dispatcher/state_purchase_view/34680938</v>
      </c>
      <c r="C925" s="1" t="s">
        <v>3250</v>
      </c>
      <c r="D925" s="1" t="s">
        <v>821</v>
      </c>
      <c r="E925" s="4">
        <v>1</v>
      </c>
      <c r="F925" s="5">
        <v>590000</v>
      </c>
      <c r="G925" s="1" t="s">
        <v>4991</v>
      </c>
      <c r="H925" s="1" t="s">
        <v>314</v>
      </c>
      <c r="I925" s="1" t="s">
        <v>2465</v>
      </c>
      <c r="J925" s="5">
        <v>590000</v>
      </c>
      <c r="K925" s="1" t="s">
        <v>3394</v>
      </c>
      <c r="L925" s="5">
        <v>2950</v>
      </c>
      <c r="M925" s="1" t="s">
        <v>2308</v>
      </c>
      <c r="N925" s="1" t="s">
        <v>3983</v>
      </c>
      <c r="O925" s="1" t="s">
        <v>2521</v>
      </c>
      <c r="P925" s="1" t="s">
        <v>2515</v>
      </c>
      <c r="Q925" s="1" t="s">
        <v>4833</v>
      </c>
      <c r="R925" s="1" t="s">
        <v>4336</v>
      </c>
      <c r="S925" s="1" t="s">
        <v>4971</v>
      </c>
      <c r="T925" s="6">
        <v>44593</v>
      </c>
      <c r="U925" s="6">
        <v>44593</v>
      </c>
      <c r="V925" s="7">
        <v>0.45716140167824076</v>
      </c>
      <c r="W925" s="6">
        <v>44609</v>
      </c>
      <c r="X925" s="7">
        <v>0</v>
      </c>
      <c r="Y925" s="8">
        <v>44609.645486111112</v>
      </c>
      <c r="Z925" s="5">
        <v>510</v>
      </c>
      <c r="AA925" s="1" t="s">
        <v>3403</v>
      </c>
      <c r="AB925" s="1"/>
      <c r="AC925" s="1"/>
      <c r="AD925" s="1"/>
      <c r="AE925" s="1" t="s">
        <v>3774</v>
      </c>
      <c r="AF925" s="1" t="s">
        <v>9</v>
      </c>
      <c r="AG925" s="4">
        <v>2</v>
      </c>
      <c r="AH925" s="1"/>
      <c r="AI925" s="6">
        <v>44712</v>
      </c>
    </row>
    <row r="926" spans="1:35" x14ac:dyDescent="0.3">
      <c r="A926" s="1" t="s">
        <v>1813</v>
      </c>
      <c r="B926" s="2" t="str">
        <f>HYPERLINK("https://my.zakupki.prom.ua/remote/dispatcher/state_purchase_view/34680920")</f>
        <v>https://my.zakupki.prom.ua/remote/dispatcher/state_purchase_view/34680920</v>
      </c>
      <c r="C926" s="1" t="s">
        <v>3679</v>
      </c>
      <c r="D926" s="1" t="s">
        <v>1201</v>
      </c>
      <c r="E926" s="4">
        <v>1</v>
      </c>
      <c r="F926" s="5">
        <v>200000</v>
      </c>
      <c r="G926" s="1" t="s">
        <v>4939</v>
      </c>
      <c r="H926" s="1" t="s">
        <v>943</v>
      </c>
      <c r="I926" s="1" t="s">
        <v>2389</v>
      </c>
      <c r="J926" s="5">
        <v>200000</v>
      </c>
      <c r="K926" s="1" t="s">
        <v>3394</v>
      </c>
      <c r="L926" s="5">
        <v>2000</v>
      </c>
      <c r="M926" s="1" t="s">
        <v>2308</v>
      </c>
      <c r="N926" s="1" t="s">
        <v>3403</v>
      </c>
      <c r="O926" s="1" t="s">
        <v>2521</v>
      </c>
      <c r="P926" s="1" t="s">
        <v>2515</v>
      </c>
      <c r="Q926" s="1" t="s">
        <v>2820</v>
      </c>
      <c r="R926" s="1" t="s">
        <v>4081</v>
      </c>
      <c r="S926" s="1" t="s">
        <v>4971</v>
      </c>
      <c r="T926" s="6">
        <v>44593</v>
      </c>
      <c r="U926" s="6">
        <v>44593</v>
      </c>
      <c r="V926" s="7">
        <v>0.47493055555555558</v>
      </c>
      <c r="W926" s="6">
        <v>44610</v>
      </c>
      <c r="X926" s="7">
        <v>0.41666666666666669</v>
      </c>
      <c r="Y926" s="8">
        <v>44613.506006944444</v>
      </c>
      <c r="Z926" s="5">
        <v>340</v>
      </c>
      <c r="AA926" s="1" t="s">
        <v>3403</v>
      </c>
      <c r="AB926" s="1"/>
      <c r="AC926" s="1"/>
      <c r="AD926" s="1"/>
      <c r="AE926" s="1" t="s">
        <v>3742</v>
      </c>
      <c r="AF926" s="1" t="s">
        <v>9</v>
      </c>
      <c r="AG926" s="4">
        <v>14</v>
      </c>
      <c r="AH926" s="1"/>
      <c r="AI926" s="6">
        <v>44926</v>
      </c>
    </row>
    <row r="927" spans="1:35" x14ac:dyDescent="0.3">
      <c r="A927" s="1" t="s">
        <v>1333</v>
      </c>
      <c r="B927" s="2" t="str">
        <f>HYPERLINK("https://my.zakupki.prom.ua/remote/dispatcher/state_purchase_view/34680902")</f>
        <v>https://my.zakupki.prom.ua/remote/dispatcher/state_purchase_view/34680902</v>
      </c>
      <c r="C927" s="1" t="s">
        <v>3474</v>
      </c>
      <c r="D927" s="1" t="s">
        <v>826</v>
      </c>
      <c r="E927" s="1" t="s">
        <v>4903</v>
      </c>
      <c r="F927" s="1" t="s">
        <v>4903</v>
      </c>
      <c r="G927" s="1" t="s">
        <v>4903</v>
      </c>
      <c r="H927" s="1" t="s">
        <v>240</v>
      </c>
      <c r="I927" s="1" t="s">
        <v>2995</v>
      </c>
      <c r="J927" s="5">
        <v>84582</v>
      </c>
      <c r="K927" s="1" t="s">
        <v>3394</v>
      </c>
      <c r="L927" s="5">
        <v>845.82</v>
      </c>
      <c r="M927" s="1" t="s">
        <v>2308</v>
      </c>
      <c r="N927" s="1" t="s">
        <v>3983</v>
      </c>
      <c r="O927" s="1" t="s">
        <v>2521</v>
      </c>
      <c r="P927" s="1" t="s">
        <v>3956</v>
      </c>
      <c r="Q927" s="1" t="s">
        <v>3035</v>
      </c>
      <c r="R927" s="1" t="s">
        <v>4694</v>
      </c>
      <c r="S927" s="1" t="s">
        <v>4937</v>
      </c>
      <c r="T927" s="6">
        <v>44593</v>
      </c>
      <c r="U927" s="6">
        <v>44599</v>
      </c>
      <c r="V927" s="7">
        <v>0.4707986111111111</v>
      </c>
      <c r="W927" s="6">
        <v>44603</v>
      </c>
      <c r="X927" s="7">
        <v>0.4707986111111111</v>
      </c>
      <c r="Y927" s="1" t="s">
        <v>4860</v>
      </c>
      <c r="Z927" s="5">
        <v>340</v>
      </c>
      <c r="AA927" s="1" t="s">
        <v>3403</v>
      </c>
      <c r="AB927" s="1"/>
      <c r="AC927" s="1"/>
      <c r="AD927" s="1"/>
      <c r="AE927" s="1" t="s">
        <v>3787</v>
      </c>
      <c r="AF927" s="1" t="s">
        <v>9</v>
      </c>
      <c r="AG927" s="4">
        <v>23</v>
      </c>
      <c r="AH927" s="1"/>
      <c r="AI927" s="6">
        <v>44926</v>
      </c>
    </row>
    <row r="928" spans="1:35" x14ac:dyDescent="0.3">
      <c r="A928" s="1" t="s">
        <v>1509</v>
      </c>
      <c r="B928" s="2" t="str">
        <f>HYPERLINK("https://my.zakupki.prom.ua/remote/dispatcher/state_purchase_view/34680896")</f>
        <v>https://my.zakupki.prom.ua/remote/dispatcher/state_purchase_view/34680896</v>
      </c>
      <c r="C928" s="1" t="s">
        <v>3322</v>
      </c>
      <c r="D928" s="1" t="s">
        <v>1110</v>
      </c>
      <c r="E928" s="4">
        <v>8</v>
      </c>
      <c r="F928" s="5">
        <v>23750</v>
      </c>
      <c r="G928" s="1" t="s">
        <v>4991</v>
      </c>
      <c r="H928" s="1" t="s">
        <v>344</v>
      </c>
      <c r="I928" s="1" t="s">
        <v>3295</v>
      </c>
      <c r="J928" s="5">
        <v>190000</v>
      </c>
      <c r="K928" s="1" t="s">
        <v>3394</v>
      </c>
      <c r="L928" s="5">
        <v>1000</v>
      </c>
      <c r="M928" s="1" t="s">
        <v>2308</v>
      </c>
      <c r="N928" s="1" t="s">
        <v>3983</v>
      </c>
      <c r="O928" s="1" t="s">
        <v>2521</v>
      </c>
      <c r="P928" s="1" t="s">
        <v>3956</v>
      </c>
      <c r="Q928" s="1" t="s">
        <v>2761</v>
      </c>
      <c r="R928" s="1" t="s">
        <v>4673</v>
      </c>
      <c r="S928" s="1" t="s">
        <v>4937</v>
      </c>
      <c r="T928" s="6">
        <v>44593</v>
      </c>
      <c r="U928" s="6">
        <v>44599</v>
      </c>
      <c r="V928" s="7">
        <v>0</v>
      </c>
      <c r="W928" s="6">
        <v>44602</v>
      </c>
      <c r="X928" s="7">
        <v>0</v>
      </c>
      <c r="Y928" s="1" t="s">
        <v>4860</v>
      </c>
      <c r="Z928" s="5">
        <v>340</v>
      </c>
      <c r="AA928" s="1" t="s">
        <v>3403</v>
      </c>
      <c r="AB928" s="1"/>
      <c r="AC928" s="1"/>
      <c r="AD928" s="1"/>
      <c r="AE928" s="1" t="s">
        <v>3774</v>
      </c>
      <c r="AF928" s="1" t="s">
        <v>9</v>
      </c>
      <c r="AG928" s="4">
        <v>1</v>
      </c>
      <c r="AH928" s="1"/>
      <c r="AI928" s="6">
        <v>44645</v>
      </c>
    </row>
    <row r="929" spans="1:35" x14ac:dyDescent="0.3">
      <c r="A929" s="1" t="s">
        <v>1510</v>
      </c>
      <c r="B929" s="2" t="str">
        <f>HYPERLINK("https://my.zakupki.prom.ua/remote/dispatcher/state_purchase_view/34680891")</f>
        <v>https://my.zakupki.prom.ua/remote/dispatcher/state_purchase_view/34680891</v>
      </c>
      <c r="C929" s="1" t="s">
        <v>3602</v>
      </c>
      <c r="D929" s="1" t="s">
        <v>1245</v>
      </c>
      <c r="E929" s="4">
        <v>1</v>
      </c>
      <c r="F929" s="5">
        <v>2569692.5</v>
      </c>
      <c r="G929" s="1" t="s">
        <v>4939</v>
      </c>
      <c r="H929" s="1" t="s">
        <v>156</v>
      </c>
      <c r="I929" s="1" t="s">
        <v>3391</v>
      </c>
      <c r="J929" s="5">
        <v>2569692.5</v>
      </c>
      <c r="K929" s="1" t="s">
        <v>3394</v>
      </c>
      <c r="L929" s="5">
        <v>25696.93</v>
      </c>
      <c r="M929" s="1" t="s">
        <v>2308</v>
      </c>
      <c r="N929" s="1" t="s">
        <v>3403</v>
      </c>
      <c r="O929" s="1" t="s">
        <v>2521</v>
      </c>
      <c r="P929" s="1" t="s">
        <v>2515</v>
      </c>
      <c r="Q929" s="1" t="s">
        <v>3035</v>
      </c>
      <c r="R929" s="1" t="s">
        <v>4127</v>
      </c>
      <c r="S929" s="1" t="s">
        <v>4971</v>
      </c>
      <c r="T929" s="6">
        <v>44593</v>
      </c>
      <c r="U929" s="6">
        <v>44593</v>
      </c>
      <c r="V929" s="7">
        <v>0.47408564814814813</v>
      </c>
      <c r="W929" s="6">
        <v>44609</v>
      </c>
      <c r="X929" s="7">
        <v>0.54166666666666663</v>
      </c>
      <c r="Y929" s="8">
        <v>44610.563692129632</v>
      </c>
      <c r="Z929" s="5">
        <v>1700</v>
      </c>
      <c r="AA929" s="1" t="s">
        <v>3403</v>
      </c>
      <c r="AB929" s="1"/>
      <c r="AC929" s="1"/>
      <c r="AD929" s="1"/>
      <c r="AE929" s="1" t="s">
        <v>3728</v>
      </c>
      <c r="AF929" s="1" t="s">
        <v>9</v>
      </c>
      <c r="AG929" s="4">
        <v>10</v>
      </c>
      <c r="AH929" s="6">
        <v>44621</v>
      </c>
      <c r="AI929" s="6">
        <v>44926</v>
      </c>
    </row>
    <row r="930" spans="1:35" x14ac:dyDescent="0.3">
      <c r="A930" s="1" t="s">
        <v>1484</v>
      </c>
      <c r="B930" s="2" t="str">
        <f>HYPERLINK("https://my.zakupki.prom.ua/remote/dispatcher/state_purchase_view/34680890")</f>
        <v>https://my.zakupki.prom.ua/remote/dispatcher/state_purchase_view/34680890</v>
      </c>
      <c r="C930" s="1" t="s">
        <v>2378</v>
      </c>
      <c r="D930" s="1" t="s">
        <v>387</v>
      </c>
      <c r="E930" s="4">
        <v>46514</v>
      </c>
      <c r="F930" s="5">
        <v>5.66</v>
      </c>
      <c r="G930" s="1" t="s">
        <v>4879</v>
      </c>
      <c r="H930" s="1" t="s">
        <v>302</v>
      </c>
      <c r="I930" s="1" t="s">
        <v>4841</v>
      </c>
      <c r="J930" s="5">
        <v>263270</v>
      </c>
      <c r="K930" s="1" t="s">
        <v>3394</v>
      </c>
      <c r="L930" s="5">
        <v>1316.35</v>
      </c>
      <c r="M930" s="1" t="s">
        <v>2308</v>
      </c>
      <c r="N930" s="1" t="s">
        <v>3983</v>
      </c>
      <c r="O930" s="1" t="s">
        <v>2521</v>
      </c>
      <c r="P930" s="1" t="s">
        <v>2515</v>
      </c>
      <c r="Q930" s="1" t="s">
        <v>3970</v>
      </c>
      <c r="R930" s="1" t="s">
        <v>4352</v>
      </c>
      <c r="S930" s="1" t="s">
        <v>4971</v>
      </c>
      <c r="T930" s="6">
        <v>44593</v>
      </c>
      <c r="U930" s="6">
        <v>44593</v>
      </c>
      <c r="V930" s="7">
        <v>0.46669839413194447</v>
      </c>
      <c r="W930" s="6">
        <v>44609</v>
      </c>
      <c r="X930" s="7">
        <v>0.47016203703703702</v>
      </c>
      <c r="Y930" s="8">
        <v>44610.477870370371</v>
      </c>
      <c r="Z930" s="5">
        <v>510</v>
      </c>
      <c r="AA930" s="1" t="s">
        <v>3403</v>
      </c>
      <c r="AB930" s="1"/>
      <c r="AC930" s="1"/>
      <c r="AD930" s="1"/>
      <c r="AE930" s="1" t="s">
        <v>3799</v>
      </c>
      <c r="AF930" s="1" t="s">
        <v>9</v>
      </c>
      <c r="AG930" s="1" t="s">
        <v>9</v>
      </c>
      <c r="AH930" s="1"/>
      <c r="AI930" s="6">
        <v>44926</v>
      </c>
    </row>
    <row r="931" spans="1:35" x14ac:dyDescent="0.3">
      <c r="A931" s="1" t="s">
        <v>1500</v>
      </c>
      <c r="B931" s="2" t="str">
        <f>HYPERLINK("https://my.zakupki.prom.ua/remote/dispatcher/state_purchase_view/34680881")</f>
        <v>https://my.zakupki.prom.ua/remote/dispatcher/state_purchase_view/34680881</v>
      </c>
      <c r="C931" s="1" t="s">
        <v>3555</v>
      </c>
      <c r="D931" s="1" t="s">
        <v>1302</v>
      </c>
      <c r="E931" s="4">
        <v>5200</v>
      </c>
      <c r="F931" s="5">
        <v>25</v>
      </c>
      <c r="G931" s="1" t="s">
        <v>4902</v>
      </c>
      <c r="H931" s="1" t="s">
        <v>363</v>
      </c>
      <c r="I931" s="1" t="s">
        <v>3263</v>
      </c>
      <c r="J931" s="5">
        <v>130000</v>
      </c>
      <c r="K931" s="1" t="s">
        <v>3394</v>
      </c>
      <c r="L931" s="5">
        <v>650</v>
      </c>
      <c r="M931" s="1" t="s">
        <v>2308</v>
      </c>
      <c r="N931" s="1" t="s">
        <v>3983</v>
      </c>
      <c r="O931" s="1" t="s">
        <v>2521</v>
      </c>
      <c r="P931" s="1" t="s">
        <v>3956</v>
      </c>
      <c r="Q931" s="1" t="s">
        <v>3262</v>
      </c>
      <c r="R931" s="1" t="s">
        <v>4285</v>
      </c>
      <c r="S931" s="1" t="s">
        <v>4937</v>
      </c>
      <c r="T931" s="6">
        <v>44593</v>
      </c>
      <c r="U931" s="6">
        <v>44599</v>
      </c>
      <c r="V931" s="7">
        <v>0.5</v>
      </c>
      <c r="W931" s="6">
        <v>44602</v>
      </c>
      <c r="X931" s="7">
        <v>0.5</v>
      </c>
      <c r="Y931" s="1" t="s">
        <v>4860</v>
      </c>
      <c r="Z931" s="5">
        <v>340</v>
      </c>
      <c r="AA931" s="1" t="s">
        <v>3403</v>
      </c>
      <c r="AB931" s="1"/>
      <c r="AC931" s="1"/>
      <c r="AD931" s="1"/>
      <c r="AE931" s="1" t="s">
        <v>3759</v>
      </c>
      <c r="AF931" s="1" t="s">
        <v>9</v>
      </c>
      <c r="AG931" s="4">
        <v>1</v>
      </c>
      <c r="AH931" s="1"/>
      <c r="AI931" s="6">
        <v>44926</v>
      </c>
    </row>
    <row r="932" spans="1:35" x14ac:dyDescent="0.3">
      <c r="A932" s="1" t="s">
        <v>1741</v>
      </c>
      <c r="B932" s="2" t="str">
        <f>HYPERLINK("https://my.zakupki.prom.ua/remote/dispatcher/state_purchase_view/34680875")</f>
        <v>https://my.zakupki.prom.ua/remote/dispatcher/state_purchase_view/34680875</v>
      </c>
      <c r="C932" s="1" t="s">
        <v>4836</v>
      </c>
      <c r="D932" s="1" t="s">
        <v>519</v>
      </c>
      <c r="E932" s="4">
        <v>480</v>
      </c>
      <c r="F932" s="5">
        <v>1180</v>
      </c>
      <c r="G932" s="1" t="s">
        <v>4989</v>
      </c>
      <c r="H932" s="1" t="s">
        <v>367</v>
      </c>
      <c r="I932" s="1" t="s">
        <v>2523</v>
      </c>
      <c r="J932" s="5">
        <v>566400</v>
      </c>
      <c r="K932" s="1" t="s">
        <v>3394</v>
      </c>
      <c r="L932" s="5">
        <v>5664</v>
      </c>
      <c r="M932" s="1" t="s">
        <v>2308</v>
      </c>
      <c r="N932" s="1" t="s">
        <v>3983</v>
      </c>
      <c r="O932" s="1" t="s">
        <v>2521</v>
      </c>
      <c r="P932" s="1" t="s">
        <v>2515</v>
      </c>
      <c r="Q932" s="1" t="s">
        <v>3878</v>
      </c>
      <c r="R932" s="1" t="s">
        <v>4082</v>
      </c>
      <c r="S932" s="1" t="s">
        <v>4971</v>
      </c>
      <c r="T932" s="6">
        <v>44593</v>
      </c>
      <c r="U932" s="6">
        <v>44593</v>
      </c>
      <c r="V932" s="7">
        <v>0.46236668878472226</v>
      </c>
      <c r="W932" s="6">
        <v>44609</v>
      </c>
      <c r="X932" s="7">
        <v>0.66666666666666663</v>
      </c>
      <c r="Y932" s="8">
        <v>44610.490960648145</v>
      </c>
      <c r="Z932" s="5">
        <v>510</v>
      </c>
      <c r="AA932" s="1" t="s">
        <v>3403</v>
      </c>
      <c r="AB932" s="1"/>
      <c r="AC932" s="1"/>
      <c r="AD932" s="1"/>
      <c r="AE932" s="1" t="s">
        <v>3765</v>
      </c>
      <c r="AF932" s="1" t="s">
        <v>9</v>
      </c>
      <c r="AG932" s="4">
        <v>2</v>
      </c>
      <c r="AH932" s="1"/>
      <c r="AI932" s="6">
        <v>44778</v>
      </c>
    </row>
    <row r="933" spans="1:35" x14ac:dyDescent="0.3">
      <c r="A933" s="1" t="s">
        <v>1496</v>
      </c>
      <c r="B933" s="2" t="str">
        <f>HYPERLINK("https://my.zakupki.prom.ua/remote/dispatcher/state_purchase_view/34680865")</f>
        <v>https://my.zakupki.prom.ua/remote/dispatcher/state_purchase_view/34680865</v>
      </c>
      <c r="C933" s="1" t="s">
        <v>2323</v>
      </c>
      <c r="D933" s="1" t="s">
        <v>1263</v>
      </c>
      <c r="E933" s="4">
        <v>9516</v>
      </c>
      <c r="F933" s="5">
        <v>324.3</v>
      </c>
      <c r="G933" s="1" t="s">
        <v>4940</v>
      </c>
      <c r="H933" s="1" t="s">
        <v>986</v>
      </c>
      <c r="I933" s="1" t="s">
        <v>2730</v>
      </c>
      <c r="J933" s="5">
        <v>3086006.76</v>
      </c>
      <c r="K933" s="1" t="s">
        <v>3394</v>
      </c>
      <c r="L933" s="5">
        <v>15430.03</v>
      </c>
      <c r="M933" s="1" t="s">
        <v>2308</v>
      </c>
      <c r="N933" s="1" t="s">
        <v>3983</v>
      </c>
      <c r="O933" s="1" t="s">
        <v>2521</v>
      </c>
      <c r="P933" s="1" t="s">
        <v>2516</v>
      </c>
      <c r="Q933" s="1" t="s">
        <v>4911</v>
      </c>
      <c r="R933" s="1" t="s">
        <v>4081</v>
      </c>
      <c r="S933" s="1" t="s">
        <v>4971</v>
      </c>
      <c r="T933" s="6">
        <v>44593</v>
      </c>
      <c r="U933" s="6">
        <v>44593</v>
      </c>
      <c r="V933" s="7">
        <v>0.46984932584490741</v>
      </c>
      <c r="W933" s="6">
        <v>44624</v>
      </c>
      <c r="X933" s="7">
        <v>0</v>
      </c>
      <c r="Y933" s="8">
        <v>44659.521678240744</v>
      </c>
      <c r="Z933" s="5">
        <v>1700</v>
      </c>
      <c r="AA933" s="1" t="s">
        <v>3403</v>
      </c>
      <c r="AB933" s="1"/>
      <c r="AC933" s="1"/>
      <c r="AD933" s="1"/>
      <c r="AE933" s="1" t="s">
        <v>3754</v>
      </c>
      <c r="AF933" s="1" t="s">
        <v>9</v>
      </c>
      <c r="AG933" s="4">
        <v>28</v>
      </c>
      <c r="AH933" s="1"/>
      <c r="AI933" s="6">
        <v>44926</v>
      </c>
    </row>
    <row r="934" spans="1:35" x14ac:dyDescent="0.3">
      <c r="A934" s="1" t="s">
        <v>1495</v>
      </c>
      <c r="B934" s="2" t="str">
        <f>HYPERLINK("https://my.zakupki.prom.ua/remote/dispatcher/state_purchase_view/34680845")</f>
        <v>https://my.zakupki.prom.ua/remote/dispatcher/state_purchase_view/34680845</v>
      </c>
      <c r="C934" s="1" t="s">
        <v>3056</v>
      </c>
      <c r="D934" s="1" t="s">
        <v>924</v>
      </c>
      <c r="E934" s="4">
        <v>1</v>
      </c>
      <c r="F934" s="5">
        <v>1930000</v>
      </c>
      <c r="G934" s="1" t="s">
        <v>4929</v>
      </c>
      <c r="H934" s="1" t="s">
        <v>27</v>
      </c>
      <c r="I934" s="1" t="s">
        <v>2725</v>
      </c>
      <c r="J934" s="5">
        <v>1930000</v>
      </c>
      <c r="K934" s="1" t="s">
        <v>3394</v>
      </c>
      <c r="L934" s="5">
        <v>9650</v>
      </c>
      <c r="M934" s="1" t="s">
        <v>2308</v>
      </c>
      <c r="N934" s="1" t="s">
        <v>3983</v>
      </c>
      <c r="O934" s="1" t="s">
        <v>1195</v>
      </c>
      <c r="P934" s="1" t="s">
        <v>2515</v>
      </c>
      <c r="Q934" s="1" t="s">
        <v>2756</v>
      </c>
      <c r="R934" s="1" t="s">
        <v>4672</v>
      </c>
      <c r="S934" s="1" t="s">
        <v>4971</v>
      </c>
      <c r="T934" s="6">
        <v>44593</v>
      </c>
      <c r="U934" s="6">
        <v>44593</v>
      </c>
      <c r="V934" s="7">
        <v>0.46970302201388886</v>
      </c>
      <c r="W934" s="6">
        <v>44609</v>
      </c>
      <c r="X934" s="7">
        <v>0.70833333333333337</v>
      </c>
      <c r="Y934" s="8">
        <v>44610.550729166665</v>
      </c>
      <c r="Z934" s="5">
        <v>1700</v>
      </c>
      <c r="AA934" s="1" t="s">
        <v>3403</v>
      </c>
      <c r="AB934" s="1"/>
      <c r="AC934" s="1"/>
      <c r="AD934" s="1"/>
      <c r="AE934" s="1" t="s">
        <v>3788</v>
      </c>
      <c r="AF934" s="1" t="s">
        <v>9</v>
      </c>
      <c r="AG934" s="1" t="s">
        <v>9</v>
      </c>
      <c r="AH934" s="1"/>
      <c r="AI934" s="6">
        <v>44926</v>
      </c>
    </row>
    <row r="935" spans="1:35" x14ac:dyDescent="0.3">
      <c r="A935" s="1" t="s">
        <v>1335</v>
      </c>
      <c r="B935" s="2" t="str">
        <f>HYPERLINK("https://my.zakupki.prom.ua/remote/dispatcher/state_purchase_view/34680843")</f>
        <v>https://my.zakupki.prom.ua/remote/dispatcher/state_purchase_view/34680843</v>
      </c>
      <c r="C935" s="1" t="s">
        <v>3978</v>
      </c>
      <c r="D935" s="1" t="s">
        <v>430</v>
      </c>
      <c r="E935" s="4">
        <v>12</v>
      </c>
      <c r="F935" s="5">
        <v>2778</v>
      </c>
      <c r="G935" s="1" t="s">
        <v>4981</v>
      </c>
      <c r="H935" s="1" t="s">
        <v>976</v>
      </c>
      <c r="I935" s="1" t="s">
        <v>4788</v>
      </c>
      <c r="J935" s="5">
        <v>33336</v>
      </c>
      <c r="K935" s="1" t="s">
        <v>3394</v>
      </c>
      <c r="L935" s="5">
        <v>166.68</v>
      </c>
      <c r="M935" s="1" t="s">
        <v>2308</v>
      </c>
      <c r="N935" s="1" t="s">
        <v>3983</v>
      </c>
      <c r="O935" s="1" t="s">
        <v>2521</v>
      </c>
      <c r="P935" s="1" t="s">
        <v>2516</v>
      </c>
      <c r="Q935" s="1" t="s">
        <v>3264</v>
      </c>
      <c r="R935" s="1" t="s">
        <v>4114</v>
      </c>
      <c r="S935" s="1" t="s">
        <v>4971</v>
      </c>
      <c r="T935" s="6">
        <v>44593</v>
      </c>
      <c r="U935" s="6">
        <v>44593</v>
      </c>
      <c r="V935" s="7">
        <v>0.46789952687499997</v>
      </c>
      <c r="W935" s="6">
        <v>44624</v>
      </c>
      <c r="X935" s="7">
        <v>0.47135416666666669</v>
      </c>
      <c r="Y935" s="8">
        <v>44662.536805555559</v>
      </c>
      <c r="Z935" s="5">
        <v>119</v>
      </c>
      <c r="AA935" s="1" t="s">
        <v>3403</v>
      </c>
      <c r="AB935" s="1"/>
      <c r="AC935" s="1"/>
      <c r="AD935" s="1"/>
      <c r="AE935" s="1" t="s">
        <v>3793</v>
      </c>
      <c r="AF935" s="1" t="s">
        <v>9</v>
      </c>
      <c r="AG935" s="4">
        <v>53</v>
      </c>
      <c r="AH935" s="1"/>
      <c r="AI935" s="6">
        <v>44926</v>
      </c>
    </row>
    <row r="936" spans="1:35" x14ac:dyDescent="0.3">
      <c r="A936" s="1" t="s">
        <v>1814</v>
      </c>
      <c r="B936" s="2" t="str">
        <f>HYPERLINK("https://my.zakupki.prom.ua/remote/dispatcher/state_purchase_view/34680827")</f>
        <v>https://my.zakupki.prom.ua/remote/dispatcher/state_purchase_view/34680827</v>
      </c>
      <c r="C936" s="1" t="s">
        <v>2596</v>
      </c>
      <c r="D936" s="1" t="s">
        <v>807</v>
      </c>
      <c r="E936" s="1" t="s">
        <v>4903</v>
      </c>
      <c r="F936" s="1" t="s">
        <v>4903</v>
      </c>
      <c r="G936" s="1" t="s">
        <v>4903</v>
      </c>
      <c r="H936" s="1" t="s">
        <v>606</v>
      </c>
      <c r="I936" s="1" t="s">
        <v>2855</v>
      </c>
      <c r="J936" s="5">
        <v>120000</v>
      </c>
      <c r="K936" s="1" t="s">
        <v>3394</v>
      </c>
      <c r="L936" s="5">
        <v>1200</v>
      </c>
      <c r="M936" s="1" t="s">
        <v>2308</v>
      </c>
      <c r="N936" s="1" t="s">
        <v>3983</v>
      </c>
      <c r="O936" s="1" t="s">
        <v>866</v>
      </c>
      <c r="P936" s="1" t="s">
        <v>3956</v>
      </c>
      <c r="Q936" s="1" t="s">
        <v>2761</v>
      </c>
      <c r="R936" s="1" t="s">
        <v>4375</v>
      </c>
      <c r="S936" s="1" t="s">
        <v>4937</v>
      </c>
      <c r="T936" s="6">
        <v>44593</v>
      </c>
      <c r="U936" s="6">
        <v>44600</v>
      </c>
      <c r="V936" s="7">
        <v>0.70833333333333337</v>
      </c>
      <c r="W936" s="6">
        <v>44603</v>
      </c>
      <c r="X936" s="7">
        <v>4.1666666666666664E-2</v>
      </c>
      <c r="Y936" s="1" t="s">
        <v>4860</v>
      </c>
      <c r="Z936" s="5">
        <v>340</v>
      </c>
      <c r="AA936" s="1" t="s">
        <v>3403</v>
      </c>
      <c r="AB936" s="1"/>
      <c r="AC936" s="1"/>
      <c r="AD936" s="1"/>
      <c r="AE936" s="1" t="s">
        <v>3788</v>
      </c>
      <c r="AF936" s="1" t="s">
        <v>9</v>
      </c>
      <c r="AG936" s="4">
        <v>24</v>
      </c>
      <c r="AH936" s="1"/>
      <c r="AI936" s="6">
        <v>44926</v>
      </c>
    </row>
    <row r="937" spans="1:35" x14ac:dyDescent="0.3">
      <c r="A937" s="1" t="s">
        <v>1503</v>
      </c>
      <c r="B937" s="2" t="str">
        <f>HYPERLINK("https://my.zakupki.prom.ua/remote/dispatcher/state_purchase_view/34680836")</f>
        <v>https://my.zakupki.prom.ua/remote/dispatcher/state_purchase_view/34680836</v>
      </c>
      <c r="C937" s="1" t="s">
        <v>2620</v>
      </c>
      <c r="D937" s="1" t="s">
        <v>764</v>
      </c>
      <c r="E937" s="1" t="s">
        <v>4903</v>
      </c>
      <c r="F937" s="1" t="s">
        <v>4903</v>
      </c>
      <c r="G937" s="1" t="s">
        <v>4903</v>
      </c>
      <c r="H937" s="1" t="s">
        <v>339</v>
      </c>
      <c r="I937" s="1" t="s">
        <v>3139</v>
      </c>
      <c r="J937" s="5">
        <v>96000</v>
      </c>
      <c r="K937" s="1" t="s">
        <v>3394</v>
      </c>
      <c r="L937" s="5">
        <v>480</v>
      </c>
      <c r="M937" s="1" t="s">
        <v>2308</v>
      </c>
      <c r="N937" s="1" t="s">
        <v>3403</v>
      </c>
      <c r="O937" s="1" t="s">
        <v>2521</v>
      </c>
      <c r="P937" s="1" t="s">
        <v>3956</v>
      </c>
      <c r="Q937" s="1" t="s">
        <v>3992</v>
      </c>
      <c r="R937" s="1" t="s">
        <v>4387</v>
      </c>
      <c r="S937" s="1" t="s">
        <v>4937</v>
      </c>
      <c r="T937" s="6">
        <v>44593</v>
      </c>
      <c r="U937" s="6">
        <v>44599</v>
      </c>
      <c r="V937" s="7">
        <v>0</v>
      </c>
      <c r="W937" s="6">
        <v>44602</v>
      </c>
      <c r="X937" s="7">
        <v>0</v>
      </c>
      <c r="Y937" s="1" t="s">
        <v>4860</v>
      </c>
      <c r="Z937" s="5">
        <v>340</v>
      </c>
      <c r="AA937" s="1" t="s">
        <v>3403</v>
      </c>
      <c r="AB937" s="1"/>
      <c r="AC937" s="1"/>
      <c r="AD937" s="1"/>
      <c r="AE937" s="1" t="s">
        <v>3788</v>
      </c>
      <c r="AF937" s="1" t="s">
        <v>9</v>
      </c>
      <c r="AG937" s="4">
        <v>4</v>
      </c>
      <c r="AH937" s="1"/>
      <c r="AI937" s="6">
        <v>44926</v>
      </c>
    </row>
    <row r="938" spans="1:35" x14ac:dyDescent="0.3">
      <c r="A938" s="1" t="s">
        <v>1505</v>
      </c>
      <c r="B938" s="2" t="str">
        <f>HYPERLINK("https://my.zakupki.prom.ua/remote/dispatcher/state_purchase_view/34680834")</f>
        <v>https://my.zakupki.prom.ua/remote/dispatcher/state_purchase_view/34680834</v>
      </c>
      <c r="C938" s="1" t="s">
        <v>2396</v>
      </c>
      <c r="D938" s="1" t="s">
        <v>373</v>
      </c>
      <c r="E938" s="1" t="s">
        <v>4903</v>
      </c>
      <c r="F938" s="1" t="s">
        <v>4903</v>
      </c>
      <c r="G938" s="1" t="s">
        <v>4903</v>
      </c>
      <c r="H938" s="1" t="s">
        <v>1018</v>
      </c>
      <c r="I938" s="1" t="s">
        <v>4024</v>
      </c>
      <c r="J938" s="5">
        <v>176297</v>
      </c>
      <c r="K938" s="1" t="s">
        <v>3394</v>
      </c>
      <c r="L938" s="5">
        <v>881.49</v>
      </c>
      <c r="M938" s="1" t="s">
        <v>2308</v>
      </c>
      <c r="N938" s="1" t="s">
        <v>3983</v>
      </c>
      <c r="O938" s="1" t="s">
        <v>2521</v>
      </c>
      <c r="P938" s="1" t="s">
        <v>3956</v>
      </c>
      <c r="Q938" s="1" t="s">
        <v>2497</v>
      </c>
      <c r="R938" s="1" t="s">
        <v>4076</v>
      </c>
      <c r="S938" s="1" t="s">
        <v>4937</v>
      </c>
      <c r="T938" s="6">
        <v>44593</v>
      </c>
      <c r="U938" s="6">
        <v>44597</v>
      </c>
      <c r="V938" s="7">
        <v>0.47436342592592595</v>
      </c>
      <c r="W938" s="6">
        <v>44602</v>
      </c>
      <c r="X938" s="7">
        <v>0.47436342592592595</v>
      </c>
      <c r="Y938" s="1" t="s">
        <v>4860</v>
      </c>
      <c r="Z938" s="5">
        <v>340</v>
      </c>
      <c r="AA938" s="1" t="s">
        <v>3403</v>
      </c>
      <c r="AB938" s="1"/>
      <c r="AC938" s="1"/>
      <c r="AD938" s="1"/>
      <c r="AE938" s="1" t="s">
        <v>3803</v>
      </c>
      <c r="AF938" s="1" t="s">
        <v>9</v>
      </c>
      <c r="AG938" s="4">
        <v>4</v>
      </c>
      <c r="AH938" s="1"/>
      <c r="AI938" s="6">
        <v>44926</v>
      </c>
    </row>
    <row r="939" spans="1:35" x14ac:dyDescent="0.3">
      <c r="A939" s="1" t="s">
        <v>1446</v>
      </c>
      <c r="B939" s="2" t="str">
        <f>HYPERLINK("https://my.zakupki.prom.ua/remote/dispatcher/state_purchase_view/34680837")</f>
        <v>https://my.zakupki.prom.ua/remote/dispatcher/state_purchase_view/34680837</v>
      </c>
      <c r="C939" s="1" t="s">
        <v>3672</v>
      </c>
      <c r="D939" s="1" t="s">
        <v>487</v>
      </c>
      <c r="E939" s="1" t="s">
        <v>4903</v>
      </c>
      <c r="F939" s="1" t="s">
        <v>4903</v>
      </c>
      <c r="G939" s="1" t="s">
        <v>4903</v>
      </c>
      <c r="H939" s="1" t="s">
        <v>171</v>
      </c>
      <c r="I939" s="1" t="s">
        <v>3086</v>
      </c>
      <c r="J939" s="5">
        <v>466620</v>
      </c>
      <c r="K939" s="1" t="s">
        <v>3394</v>
      </c>
      <c r="L939" s="5">
        <v>2334</v>
      </c>
      <c r="M939" s="1" t="s">
        <v>2308</v>
      </c>
      <c r="N939" s="1" t="s">
        <v>3983</v>
      </c>
      <c r="O939" s="1" t="s">
        <v>2521</v>
      </c>
      <c r="P939" s="1" t="s">
        <v>2515</v>
      </c>
      <c r="Q939" s="1" t="s">
        <v>2334</v>
      </c>
      <c r="R939" s="1" t="s">
        <v>4066</v>
      </c>
      <c r="S939" s="1" t="s">
        <v>4971</v>
      </c>
      <c r="T939" s="6">
        <v>44593</v>
      </c>
      <c r="U939" s="6">
        <v>44593</v>
      </c>
      <c r="V939" s="7">
        <v>0.45991755346064817</v>
      </c>
      <c r="W939" s="6">
        <v>44609</v>
      </c>
      <c r="X939" s="7">
        <v>0</v>
      </c>
      <c r="Y939" s="8">
        <v>44609.610486111109</v>
      </c>
      <c r="Z939" s="5">
        <v>510</v>
      </c>
      <c r="AA939" s="1" t="s">
        <v>3403</v>
      </c>
      <c r="AB939" s="1"/>
      <c r="AC939" s="1"/>
      <c r="AD939" s="1"/>
      <c r="AE939" s="1" t="s">
        <v>3796</v>
      </c>
      <c r="AF939" s="1" t="s">
        <v>9</v>
      </c>
      <c r="AG939" s="4">
        <v>1</v>
      </c>
      <c r="AH939" s="1"/>
      <c r="AI939" s="6">
        <v>44926</v>
      </c>
    </row>
    <row r="940" spans="1:35" x14ac:dyDescent="0.3">
      <c r="A940" s="1" t="s">
        <v>1805</v>
      </c>
      <c r="B940" s="2" t="str">
        <f>HYPERLINK("https://my.zakupki.prom.ua/remote/dispatcher/state_purchase_view/34680830")</f>
        <v>https://my.zakupki.prom.ua/remote/dispatcher/state_purchase_view/34680830</v>
      </c>
      <c r="C940" s="1" t="s">
        <v>3040</v>
      </c>
      <c r="D940" s="1" t="s">
        <v>847</v>
      </c>
      <c r="E940" s="4">
        <v>130</v>
      </c>
      <c r="F940" s="5">
        <v>43200</v>
      </c>
      <c r="G940" s="1" t="s">
        <v>4981</v>
      </c>
      <c r="H940" s="1" t="s">
        <v>972</v>
      </c>
      <c r="I940" s="1" t="s">
        <v>4759</v>
      </c>
      <c r="J940" s="5">
        <v>5616000</v>
      </c>
      <c r="K940" s="1" t="s">
        <v>3394</v>
      </c>
      <c r="L940" s="5">
        <v>28080</v>
      </c>
      <c r="M940" s="1" t="s">
        <v>2308</v>
      </c>
      <c r="N940" s="1" t="s">
        <v>3983</v>
      </c>
      <c r="O940" s="1" t="s">
        <v>1194</v>
      </c>
      <c r="P940" s="1" t="s">
        <v>2516</v>
      </c>
      <c r="Q940" s="1" t="s">
        <v>3035</v>
      </c>
      <c r="R940" s="1" t="s">
        <v>4081</v>
      </c>
      <c r="S940" s="1" t="s">
        <v>4971</v>
      </c>
      <c r="T940" s="6">
        <v>44593</v>
      </c>
      <c r="U940" s="6">
        <v>44593</v>
      </c>
      <c r="V940" s="7">
        <v>0.47328703703703706</v>
      </c>
      <c r="W940" s="6">
        <v>44624</v>
      </c>
      <c r="X940" s="7">
        <v>0.41666666666666669</v>
      </c>
      <c r="Y940" s="8">
        <v>44662.518587962964</v>
      </c>
      <c r="Z940" s="5">
        <v>3400</v>
      </c>
      <c r="AA940" s="1" t="s">
        <v>3403</v>
      </c>
      <c r="AB940" s="1"/>
      <c r="AC940" s="1"/>
      <c r="AD940" s="1"/>
      <c r="AE940" s="1" t="s">
        <v>3793</v>
      </c>
      <c r="AF940" s="1" t="s">
        <v>9</v>
      </c>
      <c r="AG940" s="4">
        <v>1638</v>
      </c>
      <c r="AH940" s="1"/>
      <c r="AI940" s="6">
        <v>44926</v>
      </c>
    </row>
    <row r="941" spans="1:35" x14ac:dyDescent="0.3">
      <c r="A941" s="1" t="s">
        <v>1492</v>
      </c>
      <c r="B941" s="2" t="str">
        <f>HYPERLINK("https://my.zakupki.prom.ua/remote/dispatcher/state_purchase_view/34680817")</f>
        <v>https://my.zakupki.prom.ua/remote/dispatcher/state_purchase_view/34680817</v>
      </c>
      <c r="C941" s="1" t="s">
        <v>2330</v>
      </c>
      <c r="D941" s="1" t="s">
        <v>1282</v>
      </c>
      <c r="E941" s="4">
        <v>780</v>
      </c>
      <c r="F941" s="5">
        <v>170</v>
      </c>
      <c r="G941" s="1" t="s">
        <v>4914</v>
      </c>
      <c r="H941" s="1" t="s">
        <v>627</v>
      </c>
      <c r="I941" s="1" t="s">
        <v>2866</v>
      </c>
      <c r="J941" s="5">
        <v>132600</v>
      </c>
      <c r="K941" s="1" t="s">
        <v>3394</v>
      </c>
      <c r="L941" s="5">
        <v>663</v>
      </c>
      <c r="M941" s="1" t="s">
        <v>2308</v>
      </c>
      <c r="N941" s="1" t="s">
        <v>3983</v>
      </c>
      <c r="O941" s="1" t="s">
        <v>2521</v>
      </c>
      <c r="P941" s="1" t="s">
        <v>3956</v>
      </c>
      <c r="Q941" s="1" t="s">
        <v>2334</v>
      </c>
      <c r="R941" s="1" t="s">
        <v>4202</v>
      </c>
      <c r="S941" s="1" t="s">
        <v>4937</v>
      </c>
      <c r="T941" s="6">
        <v>44593</v>
      </c>
      <c r="U941" s="6">
        <v>44599</v>
      </c>
      <c r="V941" s="7">
        <v>0.41666666666666669</v>
      </c>
      <c r="W941" s="6">
        <v>44602</v>
      </c>
      <c r="X941" s="7">
        <v>0.41666666666666669</v>
      </c>
      <c r="Y941" s="1" t="s">
        <v>4860</v>
      </c>
      <c r="Z941" s="5">
        <v>340</v>
      </c>
      <c r="AA941" s="1" t="s">
        <v>3403</v>
      </c>
      <c r="AB941" s="1"/>
      <c r="AC941" s="1"/>
      <c r="AD941" s="1"/>
      <c r="AE941" s="1" t="s">
        <v>3705</v>
      </c>
      <c r="AF941" s="1" t="s">
        <v>9</v>
      </c>
      <c r="AG941" s="4">
        <v>2</v>
      </c>
      <c r="AH941" s="1"/>
      <c r="AI941" s="6">
        <v>44926</v>
      </c>
    </row>
    <row r="942" spans="1:35" x14ac:dyDescent="0.3">
      <c r="A942" s="1" t="s">
        <v>1336</v>
      </c>
      <c r="B942" s="2" t="str">
        <f>HYPERLINK("https://my.zakupki.prom.ua/remote/dispatcher/state_purchase_view/34680810")</f>
        <v>https://my.zakupki.prom.ua/remote/dispatcher/state_purchase_view/34680810</v>
      </c>
      <c r="C942" s="1" t="s">
        <v>3820</v>
      </c>
      <c r="D942" s="1" t="s">
        <v>415</v>
      </c>
      <c r="E942" s="4">
        <v>2000</v>
      </c>
      <c r="F942" s="5">
        <v>140</v>
      </c>
      <c r="G942" s="1" t="s">
        <v>4981</v>
      </c>
      <c r="H942" s="1" t="s">
        <v>270</v>
      </c>
      <c r="I942" s="1" t="s">
        <v>2692</v>
      </c>
      <c r="J942" s="5">
        <v>280000</v>
      </c>
      <c r="K942" s="1" t="s">
        <v>3394</v>
      </c>
      <c r="L942" s="5">
        <v>1400</v>
      </c>
      <c r="M942" s="1" t="s">
        <v>2308</v>
      </c>
      <c r="N942" s="1" t="s">
        <v>3983</v>
      </c>
      <c r="O942" s="1" t="s">
        <v>2521</v>
      </c>
      <c r="P942" s="1" t="s">
        <v>2762</v>
      </c>
      <c r="Q942" s="1" t="s">
        <v>3035</v>
      </c>
      <c r="R942" s="1" t="s">
        <v>4081</v>
      </c>
      <c r="S942" s="1" t="s">
        <v>4937</v>
      </c>
      <c r="T942" s="6">
        <v>44593</v>
      </c>
      <c r="U942" s="6">
        <v>44597</v>
      </c>
      <c r="V942" s="7">
        <v>0</v>
      </c>
      <c r="W942" s="6">
        <v>44601</v>
      </c>
      <c r="X942" s="7">
        <v>0</v>
      </c>
      <c r="Y942" s="1" t="s">
        <v>4860</v>
      </c>
      <c r="Z942" s="5">
        <v>510</v>
      </c>
      <c r="AA942" s="1" t="s">
        <v>3403</v>
      </c>
      <c r="AB942" s="1"/>
      <c r="AC942" s="1"/>
      <c r="AD942" s="1"/>
      <c r="AE942" s="1" t="s">
        <v>3806</v>
      </c>
      <c r="AF942" s="1" t="s">
        <v>9</v>
      </c>
      <c r="AG942" s="4">
        <v>2</v>
      </c>
      <c r="AH942" s="6">
        <v>44606</v>
      </c>
      <c r="AI942" s="6">
        <v>44651</v>
      </c>
    </row>
    <row r="943" spans="1:35" x14ac:dyDescent="0.3">
      <c r="A943" s="1" t="s">
        <v>1790</v>
      </c>
      <c r="B943" s="2" t="str">
        <f>HYPERLINK("https://my.zakupki.prom.ua/remote/dispatcher/state_purchase_view/34680802")</f>
        <v>https://my.zakupki.prom.ua/remote/dispatcher/state_purchase_view/34680802</v>
      </c>
      <c r="C943" s="1" t="s">
        <v>3820</v>
      </c>
      <c r="D943" s="1" t="s">
        <v>415</v>
      </c>
      <c r="E943" s="4">
        <v>2000</v>
      </c>
      <c r="F943" s="5">
        <v>140</v>
      </c>
      <c r="G943" s="1" t="s">
        <v>4981</v>
      </c>
      <c r="H943" s="1" t="s">
        <v>270</v>
      </c>
      <c r="I943" s="1" t="s">
        <v>2692</v>
      </c>
      <c r="J943" s="5">
        <v>280000</v>
      </c>
      <c r="K943" s="1" t="s">
        <v>3394</v>
      </c>
      <c r="L943" s="5">
        <v>1400</v>
      </c>
      <c r="M943" s="1" t="s">
        <v>2308</v>
      </c>
      <c r="N943" s="1" t="s">
        <v>3983</v>
      </c>
      <c r="O943" s="1" t="s">
        <v>2521</v>
      </c>
      <c r="P943" s="1" t="s">
        <v>2762</v>
      </c>
      <c r="Q943" s="1" t="s">
        <v>3035</v>
      </c>
      <c r="R943" s="1" t="s">
        <v>4081</v>
      </c>
      <c r="S943" s="1" t="s">
        <v>4937</v>
      </c>
      <c r="T943" s="6">
        <v>44593</v>
      </c>
      <c r="U943" s="6">
        <v>44597</v>
      </c>
      <c r="V943" s="7">
        <v>0</v>
      </c>
      <c r="W943" s="6">
        <v>44601</v>
      </c>
      <c r="X943" s="7">
        <v>0</v>
      </c>
      <c r="Y943" s="1" t="s">
        <v>4860</v>
      </c>
      <c r="Z943" s="5">
        <v>510</v>
      </c>
      <c r="AA943" s="1" t="s">
        <v>3403</v>
      </c>
      <c r="AB943" s="1"/>
      <c r="AC943" s="1"/>
      <c r="AD943" s="1"/>
      <c r="AE943" s="1" t="s">
        <v>3806</v>
      </c>
      <c r="AF943" s="1" t="s">
        <v>9</v>
      </c>
      <c r="AG943" s="4">
        <v>2</v>
      </c>
      <c r="AH943" s="6">
        <v>44606</v>
      </c>
      <c r="AI943" s="6">
        <v>44651</v>
      </c>
    </row>
    <row r="944" spans="1:35" x14ac:dyDescent="0.3">
      <c r="A944" s="1" t="s">
        <v>1485</v>
      </c>
      <c r="B944" s="2" t="str">
        <f>HYPERLINK("https://my.zakupki.prom.ua/remote/dispatcher/state_purchase_view/34680792")</f>
        <v>https://my.zakupki.prom.ua/remote/dispatcher/state_purchase_view/34680792</v>
      </c>
      <c r="C944" s="1" t="s">
        <v>2775</v>
      </c>
      <c r="D944" s="1" t="s">
        <v>387</v>
      </c>
      <c r="E944" s="4">
        <v>105000</v>
      </c>
      <c r="F944" s="5">
        <v>6.8</v>
      </c>
      <c r="G944" s="1" t="s">
        <v>3235</v>
      </c>
      <c r="H944" s="1" t="s">
        <v>1062</v>
      </c>
      <c r="I944" s="1" t="s">
        <v>3822</v>
      </c>
      <c r="J944" s="5">
        <v>714000</v>
      </c>
      <c r="K944" s="1" t="s">
        <v>3394</v>
      </c>
      <c r="L944" s="5">
        <v>3570</v>
      </c>
      <c r="M944" s="1" t="s">
        <v>2308</v>
      </c>
      <c r="N944" s="1" t="s">
        <v>3983</v>
      </c>
      <c r="O944" s="1" t="s">
        <v>2521</v>
      </c>
      <c r="P944" s="1" t="s">
        <v>2515</v>
      </c>
      <c r="Q944" s="1" t="s">
        <v>3878</v>
      </c>
      <c r="R944" s="1" t="s">
        <v>4081</v>
      </c>
      <c r="S944" s="1" t="s">
        <v>4971</v>
      </c>
      <c r="T944" s="6">
        <v>44593</v>
      </c>
      <c r="U944" s="6">
        <v>44593</v>
      </c>
      <c r="V944" s="7">
        <v>0.46728127715277779</v>
      </c>
      <c r="W944" s="6">
        <v>44609</v>
      </c>
      <c r="X944" s="7">
        <v>0</v>
      </c>
      <c r="Y944" s="8">
        <v>44609.569108796299</v>
      </c>
      <c r="Z944" s="5">
        <v>510</v>
      </c>
      <c r="AA944" s="1" t="s">
        <v>3403</v>
      </c>
      <c r="AB944" s="1"/>
      <c r="AC944" s="1"/>
      <c r="AD944" s="1"/>
      <c r="AE944" s="1" t="s">
        <v>3768</v>
      </c>
      <c r="AF944" s="1" t="s">
        <v>9</v>
      </c>
      <c r="AG944" s="4">
        <v>2</v>
      </c>
      <c r="AH944" s="1"/>
      <c r="AI944" s="6">
        <v>44926</v>
      </c>
    </row>
    <row r="945" spans="1:35" x14ac:dyDescent="0.3">
      <c r="A945" s="1" t="s">
        <v>1812</v>
      </c>
      <c r="B945" s="2" t="str">
        <f>HYPERLINK("https://my.zakupki.prom.ua/remote/dispatcher/state_purchase_view/34680578")</f>
        <v>https://my.zakupki.prom.ua/remote/dispatcher/state_purchase_view/34680578</v>
      </c>
      <c r="C945" s="1" t="s">
        <v>3284</v>
      </c>
      <c r="D945" s="1" t="s">
        <v>449</v>
      </c>
      <c r="E945" s="4">
        <v>600</v>
      </c>
      <c r="F945" s="5">
        <v>108</v>
      </c>
      <c r="G945" s="1" t="s">
        <v>4901</v>
      </c>
      <c r="H945" s="1" t="s">
        <v>67</v>
      </c>
      <c r="I945" s="1" t="s">
        <v>3137</v>
      </c>
      <c r="J945" s="5">
        <v>64800</v>
      </c>
      <c r="K945" s="1" t="s">
        <v>3394</v>
      </c>
      <c r="L945" s="5">
        <v>648</v>
      </c>
      <c r="M945" s="1" t="s">
        <v>2308</v>
      </c>
      <c r="N945" s="1" t="s">
        <v>3983</v>
      </c>
      <c r="O945" s="1" t="s">
        <v>2521</v>
      </c>
      <c r="P945" s="1" t="s">
        <v>3956</v>
      </c>
      <c r="Q945" s="1" t="s">
        <v>2761</v>
      </c>
      <c r="R945" s="1" t="s">
        <v>4338</v>
      </c>
      <c r="S945" s="1" t="s">
        <v>4937</v>
      </c>
      <c r="T945" s="6">
        <v>44593</v>
      </c>
      <c r="U945" s="6">
        <v>44599</v>
      </c>
      <c r="V945" s="7">
        <v>0.47013888888888888</v>
      </c>
      <c r="W945" s="6">
        <v>44602</v>
      </c>
      <c r="X945" s="7">
        <v>0.47013888888888888</v>
      </c>
      <c r="Y945" s="1" t="s">
        <v>4860</v>
      </c>
      <c r="Z945" s="5">
        <v>340</v>
      </c>
      <c r="AA945" s="1" t="s">
        <v>3403</v>
      </c>
      <c r="AB945" s="1"/>
      <c r="AC945" s="1"/>
      <c r="AD945" s="1"/>
      <c r="AE945" s="1" t="s">
        <v>3788</v>
      </c>
      <c r="AF945" s="1" t="s">
        <v>9</v>
      </c>
      <c r="AG945" s="4">
        <v>3</v>
      </c>
      <c r="AH945" s="6">
        <v>44613</v>
      </c>
      <c r="AI945" s="6">
        <v>44926</v>
      </c>
    </row>
    <row r="946" spans="1:35" x14ac:dyDescent="0.3">
      <c r="A946" s="1" t="s">
        <v>1802</v>
      </c>
      <c r="B946" s="2" t="str">
        <f>HYPERLINK("https://my.zakupki.prom.ua/remote/dispatcher/state_purchase_view/34680545")</f>
        <v>https://my.zakupki.prom.ua/remote/dispatcher/state_purchase_view/34680545</v>
      </c>
      <c r="C946" s="1" t="s">
        <v>2539</v>
      </c>
      <c r="D946" s="1" t="s">
        <v>714</v>
      </c>
      <c r="E946" s="4">
        <v>7</v>
      </c>
      <c r="F946" s="5">
        <v>58285.71</v>
      </c>
      <c r="G946" s="1" t="s">
        <v>4991</v>
      </c>
      <c r="H946" s="1" t="s">
        <v>593</v>
      </c>
      <c r="I946" s="1" t="s">
        <v>3473</v>
      </c>
      <c r="J946" s="5">
        <v>408000</v>
      </c>
      <c r="K946" s="1" t="s">
        <v>3394</v>
      </c>
      <c r="L946" s="5">
        <v>2040</v>
      </c>
      <c r="M946" s="1" t="s">
        <v>2308</v>
      </c>
      <c r="N946" s="1" t="s">
        <v>3983</v>
      </c>
      <c r="O946" s="1" t="s">
        <v>2521</v>
      </c>
      <c r="P946" s="1" t="s">
        <v>3956</v>
      </c>
      <c r="Q946" s="1" t="s">
        <v>4831</v>
      </c>
      <c r="R946" s="1" t="s">
        <v>4062</v>
      </c>
      <c r="S946" s="1" t="s">
        <v>4937</v>
      </c>
      <c r="T946" s="6">
        <v>44593</v>
      </c>
      <c r="U946" s="6">
        <v>44599</v>
      </c>
      <c r="V946" s="7">
        <v>0.95833333333333337</v>
      </c>
      <c r="W946" s="6">
        <v>44602</v>
      </c>
      <c r="X946" s="7">
        <v>0</v>
      </c>
      <c r="Y946" s="1" t="s">
        <v>4860</v>
      </c>
      <c r="Z946" s="5">
        <v>510</v>
      </c>
      <c r="AA946" s="1" t="s">
        <v>3403</v>
      </c>
      <c r="AB946" s="1"/>
      <c r="AC946" s="1"/>
      <c r="AD946" s="1"/>
      <c r="AE946" s="1" t="s">
        <v>3806</v>
      </c>
      <c r="AF946" s="1" t="s">
        <v>9</v>
      </c>
      <c r="AG946" s="4">
        <v>29</v>
      </c>
      <c r="AH946" s="1"/>
      <c r="AI946" s="6">
        <v>44926</v>
      </c>
    </row>
    <row r="947" spans="1:35" x14ac:dyDescent="0.3">
      <c r="A947" s="1" t="s">
        <v>1799</v>
      </c>
      <c r="B947" s="2" t="str">
        <f>HYPERLINK("https://my.zakupki.prom.ua/remote/dispatcher/state_purchase_view/34680473")</f>
        <v>https://my.zakupki.prom.ua/remote/dispatcher/state_purchase_view/34680473</v>
      </c>
      <c r="C947" s="1" t="s">
        <v>3841</v>
      </c>
      <c r="D947" s="1" t="s">
        <v>1146</v>
      </c>
      <c r="E947" s="4">
        <v>1</v>
      </c>
      <c r="F947" s="5">
        <v>4375717.82</v>
      </c>
      <c r="G947" s="1" t="s">
        <v>4976</v>
      </c>
      <c r="H947" s="1" t="s">
        <v>824</v>
      </c>
      <c r="I947" s="1" t="s">
        <v>2571</v>
      </c>
      <c r="J947" s="5">
        <v>4375717.82</v>
      </c>
      <c r="K947" s="1" t="s">
        <v>3394</v>
      </c>
      <c r="L947" s="5">
        <v>21878.59</v>
      </c>
      <c r="M947" s="1" t="s">
        <v>2308</v>
      </c>
      <c r="N947" s="1" t="s">
        <v>3983</v>
      </c>
      <c r="O947" s="1" t="s">
        <v>555</v>
      </c>
      <c r="P947" s="1" t="s">
        <v>2515</v>
      </c>
      <c r="Q947" s="1" t="s">
        <v>4911</v>
      </c>
      <c r="R947" s="1" t="s">
        <v>4281</v>
      </c>
      <c r="S947" s="1" t="s">
        <v>4971</v>
      </c>
      <c r="T947" s="6">
        <v>44593</v>
      </c>
      <c r="U947" s="6">
        <v>44593</v>
      </c>
      <c r="V947" s="7">
        <v>0.47040257737268515</v>
      </c>
      <c r="W947" s="6">
        <v>44609</v>
      </c>
      <c r="X947" s="7">
        <v>0</v>
      </c>
      <c r="Y947" s="8">
        <v>44609.601481481484</v>
      </c>
      <c r="Z947" s="5">
        <v>3400</v>
      </c>
      <c r="AA947" s="1" t="s">
        <v>3403</v>
      </c>
      <c r="AB947" s="1"/>
      <c r="AC947" s="1"/>
      <c r="AD947" s="1"/>
      <c r="AE947" s="1" t="s">
        <v>3706</v>
      </c>
      <c r="AF947" s="1" t="s">
        <v>9</v>
      </c>
      <c r="AG947" s="4">
        <v>3</v>
      </c>
      <c r="AH947" s="1"/>
      <c r="AI947" s="6">
        <v>44926</v>
      </c>
    </row>
    <row r="948" spans="1:35" x14ac:dyDescent="0.3">
      <c r="A948" s="1" t="s">
        <v>1792</v>
      </c>
      <c r="B948" s="2" t="str">
        <f>HYPERLINK("https://my.zakupki.prom.ua/remote/dispatcher/state_purchase_view/34680425")</f>
        <v>https://my.zakupki.prom.ua/remote/dispatcher/state_purchase_view/34680425</v>
      </c>
      <c r="C948" s="1" t="s">
        <v>2597</v>
      </c>
      <c r="D948" s="1" t="s">
        <v>1303</v>
      </c>
      <c r="E948" s="4">
        <v>3</v>
      </c>
      <c r="F948" s="5">
        <v>14000</v>
      </c>
      <c r="G948" s="1" t="s">
        <v>4991</v>
      </c>
      <c r="H948" s="1" t="s">
        <v>410</v>
      </c>
      <c r="I948" s="1" t="s">
        <v>3834</v>
      </c>
      <c r="J948" s="5">
        <v>42000</v>
      </c>
      <c r="K948" s="1" t="s">
        <v>3394</v>
      </c>
      <c r="L948" s="5">
        <v>210</v>
      </c>
      <c r="M948" s="1" t="s">
        <v>2308</v>
      </c>
      <c r="N948" s="1" t="s">
        <v>3983</v>
      </c>
      <c r="O948" s="1" t="s">
        <v>2521</v>
      </c>
      <c r="P948" s="1" t="s">
        <v>3956</v>
      </c>
      <c r="Q948" s="1" t="s">
        <v>3035</v>
      </c>
      <c r="R948" s="1" t="s">
        <v>4623</v>
      </c>
      <c r="S948" s="1" t="s">
        <v>4937</v>
      </c>
      <c r="T948" s="6">
        <v>44593</v>
      </c>
      <c r="U948" s="6">
        <v>44599</v>
      </c>
      <c r="V948" s="7">
        <v>0.5</v>
      </c>
      <c r="W948" s="6">
        <v>44602</v>
      </c>
      <c r="X948" s="7">
        <v>0</v>
      </c>
      <c r="Y948" s="1" t="s">
        <v>4860</v>
      </c>
      <c r="Z948" s="5">
        <v>119</v>
      </c>
      <c r="AA948" s="1" t="s">
        <v>3403</v>
      </c>
      <c r="AB948" s="1"/>
      <c r="AC948" s="1"/>
      <c r="AD948" s="1"/>
      <c r="AE948" s="1" t="s">
        <v>3810</v>
      </c>
      <c r="AF948" s="1" t="s">
        <v>9</v>
      </c>
      <c r="AG948" s="4">
        <v>5</v>
      </c>
      <c r="AH948" s="1"/>
      <c r="AI948" s="6">
        <v>44926</v>
      </c>
    </row>
    <row r="949" spans="1:35" x14ac:dyDescent="0.3">
      <c r="A949" s="1" t="s">
        <v>1791</v>
      </c>
      <c r="B949" s="2" t="str">
        <f>HYPERLINK("https://my.zakupki.prom.ua/remote/dispatcher/state_purchase_view/34680412")</f>
        <v>https://my.zakupki.prom.ua/remote/dispatcher/state_purchase_view/34680412</v>
      </c>
      <c r="C949" s="1" t="s">
        <v>1174</v>
      </c>
      <c r="D949" s="1" t="s">
        <v>1173</v>
      </c>
      <c r="E949" s="4">
        <v>1</v>
      </c>
      <c r="F949" s="5">
        <v>11800</v>
      </c>
      <c r="G949" s="1" t="s">
        <v>4940</v>
      </c>
      <c r="H949" s="1" t="s">
        <v>107</v>
      </c>
      <c r="I949" s="1" t="s">
        <v>3128</v>
      </c>
      <c r="J949" s="5">
        <v>11800</v>
      </c>
      <c r="K949" s="1" t="s">
        <v>3394</v>
      </c>
      <c r="L949" s="5">
        <v>59</v>
      </c>
      <c r="M949" s="1" t="s">
        <v>2308</v>
      </c>
      <c r="N949" s="1" t="s">
        <v>3983</v>
      </c>
      <c r="O949" s="1" t="s">
        <v>2521</v>
      </c>
      <c r="P949" s="1" t="s">
        <v>3956</v>
      </c>
      <c r="Q949" s="1" t="s">
        <v>4794</v>
      </c>
      <c r="R949" s="1" t="s">
        <v>4278</v>
      </c>
      <c r="S949" s="1" t="s">
        <v>4937</v>
      </c>
      <c r="T949" s="6">
        <v>44593</v>
      </c>
      <c r="U949" s="6">
        <v>44599</v>
      </c>
      <c r="V949" s="7">
        <v>0.5</v>
      </c>
      <c r="W949" s="6">
        <v>44602</v>
      </c>
      <c r="X949" s="7">
        <v>0.5</v>
      </c>
      <c r="Y949" s="1" t="s">
        <v>4860</v>
      </c>
      <c r="Z949" s="5">
        <v>17</v>
      </c>
      <c r="AA949" s="1" t="s">
        <v>3403</v>
      </c>
      <c r="AB949" s="1"/>
      <c r="AC949" s="1"/>
      <c r="AD949" s="1"/>
      <c r="AE949" s="1" t="s">
        <v>3737</v>
      </c>
      <c r="AF949" s="1" t="s">
        <v>9</v>
      </c>
      <c r="AG949" s="4">
        <v>1</v>
      </c>
      <c r="AH949" s="1"/>
      <c r="AI949" s="6">
        <v>44651</v>
      </c>
    </row>
    <row r="950" spans="1:35" x14ac:dyDescent="0.3">
      <c r="A950" s="1" t="s">
        <v>1789</v>
      </c>
      <c r="B950" s="2" t="str">
        <f>HYPERLINK("https://my.zakupki.prom.ua/remote/dispatcher/state_purchase_view/34666081")</f>
        <v>https://my.zakupki.prom.ua/remote/dispatcher/state_purchase_view/34666081</v>
      </c>
      <c r="C950" s="1" t="s">
        <v>3853</v>
      </c>
      <c r="D950" s="1" t="s">
        <v>453</v>
      </c>
      <c r="E950" s="1" t="s">
        <v>4903</v>
      </c>
      <c r="F950" s="1" t="s">
        <v>4903</v>
      </c>
      <c r="G950" s="1" t="s">
        <v>4903</v>
      </c>
      <c r="H950" s="1" t="s">
        <v>874</v>
      </c>
      <c r="I950" s="1" t="s">
        <v>3979</v>
      </c>
      <c r="J950" s="5">
        <v>61000</v>
      </c>
      <c r="K950" s="1" t="s">
        <v>3394</v>
      </c>
      <c r="L950" s="5">
        <v>610</v>
      </c>
      <c r="M950" s="1" t="s">
        <v>2308</v>
      </c>
      <c r="N950" s="1" t="s">
        <v>3983</v>
      </c>
      <c r="O950" s="1" t="s">
        <v>2521</v>
      </c>
      <c r="P950" s="1" t="s">
        <v>3956</v>
      </c>
      <c r="Q950" s="1" t="s">
        <v>3426</v>
      </c>
      <c r="R950" s="1" t="s">
        <v>4594</v>
      </c>
      <c r="S950" s="1" t="s">
        <v>4937</v>
      </c>
      <c r="T950" s="6">
        <v>44593</v>
      </c>
      <c r="U950" s="6">
        <v>44599</v>
      </c>
      <c r="V950" s="7">
        <v>0.75</v>
      </c>
      <c r="W950" s="6">
        <v>44607</v>
      </c>
      <c r="X950" s="7">
        <v>0.75</v>
      </c>
      <c r="Y950" s="1" t="s">
        <v>4860</v>
      </c>
      <c r="Z950" s="5">
        <v>340</v>
      </c>
      <c r="AA950" s="1" t="s">
        <v>3403</v>
      </c>
      <c r="AB950" s="1"/>
      <c r="AC950" s="1"/>
      <c r="AD950" s="1"/>
      <c r="AE950" s="1" t="s">
        <v>3787</v>
      </c>
      <c r="AF950" s="1" t="s">
        <v>9</v>
      </c>
      <c r="AG950" s="1" t="s">
        <v>9</v>
      </c>
      <c r="AH950" s="1"/>
      <c r="AI950" s="6">
        <v>44926</v>
      </c>
    </row>
    <row r="951" spans="1:35" x14ac:dyDescent="0.3">
      <c r="A951" s="1" t="s">
        <v>1787</v>
      </c>
      <c r="B951" s="2" t="str">
        <f>HYPERLINK("https://my.zakupki.prom.ua/remote/dispatcher/state_purchase_view/34680400")</f>
        <v>https://my.zakupki.prom.ua/remote/dispatcher/state_purchase_view/34680400</v>
      </c>
      <c r="C951" s="1" t="s">
        <v>3342</v>
      </c>
      <c r="D951" s="1" t="s">
        <v>480</v>
      </c>
      <c r="E951" s="4">
        <v>2</v>
      </c>
      <c r="F951" s="5">
        <v>31195.5</v>
      </c>
      <c r="G951" s="1" t="s">
        <v>4924</v>
      </c>
      <c r="H951" s="1" t="s">
        <v>317</v>
      </c>
      <c r="I951" s="1" t="s">
        <v>3201</v>
      </c>
      <c r="J951" s="5">
        <v>62391</v>
      </c>
      <c r="K951" s="1" t="s">
        <v>3394</v>
      </c>
      <c r="L951" s="5">
        <v>311.95999999999998</v>
      </c>
      <c r="M951" s="1" t="s">
        <v>2308</v>
      </c>
      <c r="N951" s="1" t="s">
        <v>3983</v>
      </c>
      <c r="O951" s="1" t="s">
        <v>2521</v>
      </c>
      <c r="P951" s="1" t="s">
        <v>3956</v>
      </c>
      <c r="Q951" s="1" t="s">
        <v>3325</v>
      </c>
      <c r="R951" s="1" t="s">
        <v>4056</v>
      </c>
      <c r="S951" s="1" t="s">
        <v>4937</v>
      </c>
      <c r="T951" s="6">
        <v>44593</v>
      </c>
      <c r="U951" s="6">
        <v>44599</v>
      </c>
      <c r="V951" s="7">
        <v>0.46736111111111112</v>
      </c>
      <c r="W951" s="6">
        <v>44602</v>
      </c>
      <c r="X951" s="7">
        <v>0.46736111111111112</v>
      </c>
      <c r="Y951" s="1" t="s">
        <v>4860</v>
      </c>
      <c r="Z951" s="5">
        <v>340</v>
      </c>
      <c r="AA951" s="1" t="s">
        <v>3403</v>
      </c>
      <c r="AB951" s="1"/>
      <c r="AC951" s="1"/>
      <c r="AD951" s="1"/>
      <c r="AE951" s="1" t="s">
        <v>3772</v>
      </c>
      <c r="AF951" s="1" t="s">
        <v>9</v>
      </c>
      <c r="AG951" s="1" t="s">
        <v>9</v>
      </c>
      <c r="AH951" s="6">
        <v>44613</v>
      </c>
      <c r="AI951" s="6">
        <v>44926</v>
      </c>
    </row>
    <row r="952" spans="1:35" x14ac:dyDescent="0.3">
      <c r="A952" s="1" t="s">
        <v>1332</v>
      </c>
      <c r="B952" s="2" t="str">
        <f>HYPERLINK("https://my.zakupki.prom.ua/remote/dispatcher/state_purchase_view/34680192")</f>
        <v>https://my.zakupki.prom.ua/remote/dispatcher/state_purchase_view/34680192</v>
      </c>
      <c r="C952" s="1" t="s">
        <v>2757</v>
      </c>
      <c r="D952" s="1" t="s">
        <v>1215</v>
      </c>
      <c r="E952" s="4">
        <v>51</v>
      </c>
      <c r="F952" s="5">
        <v>350.98</v>
      </c>
      <c r="G952" s="1" t="s">
        <v>4940</v>
      </c>
      <c r="H952" s="1" t="s">
        <v>115</v>
      </c>
      <c r="I952" s="1" t="s">
        <v>3072</v>
      </c>
      <c r="J952" s="5">
        <v>17900</v>
      </c>
      <c r="K952" s="1" t="s">
        <v>3394</v>
      </c>
      <c r="L952" s="5">
        <v>179</v>
      </c>
      <c r="M952" s="1" t="s">
        <v>2308</v>
      </c>
      <c r="N952" s="1" t="s">
        <v>3983</v>
      </c>
      <c r="O952" s="1" t="s">
        <v>2521</v>
      </c>
      <c r="P952" s="1" t="s">
        <v>3956</v>
      </c>
      <c r="Q952" s="1" t="s">
        <v>2820</v>
      </c>
      <c r="R952" s="1" t="s">
        <v>4439</v>
      </c>
      <c r="S952" s="1" t="s">
        <v>4937</v>
      </c>
      <c r="T952" s="6">
        <v>44593</v>
      </c>
      <c r="U952" s="6">
        <v>44599</v>
      </c>
      <c r="V952" s="7">
        <v>0.46998842592592593</v>
      </c>
      <c r="W952" s="6">
        <v>44602</v>
      </c>
      <c r="X952" s="7">
        <v>0.46998842592592593</v>
      </c>
      <c r="Y952" s="1" t="s">
        <v>4860</v>
      </c>
      <c r="Z952" s="5">
        <v>17</v>
      </c>
      <c r="AA952" s="1" t="s">
        <v>3403</v>
      </c>
      <c r="AB952" s="1"/>
      <c r="AC952" s="1"/>
      <c r="AD952" s="1"/>
      <c r="AE952" s="1" t="s">
        <v>3736</v>
      </c>
      <c r="AF952" s="1" t="s">
        <v>9</v>
      </c>
      <c r="AG952" s="4">
        <v>1</v>
      </c>
      <c r="AH952" s="1"/>
      <c r="AI952" s="6">
        <v>44804</v>
      </c>
    </row>
    <row r="953" spans="1:35" x14ac:dyDescent="0.3">
      <c r="A953" s="1" t="s">
        <v>1784</v>
      </c>
      <c r="B953" s="2" t="str">
        <f>HYPERLINK("https://my.zakupki.prom.ua/remote/dispatcher/state_purchase_view/34679935")</f>
        <v>https://my.zakupki.prom.ua/remote/dispatcher/state_purchase_view/34679935</v>
      </c>
      <c r="C953" s="1" t="s">
        <v>4974</v>
      </c>
      <c r="D953" s="1" t="s">
        <v>631</v>
      </c>
      <c r="E953" s="1" t="s">
        <v>4903</v>
      </c>
      <c r="F953" s="1" t="s">
        <v>4903</v>
      </c>
      <c r="G953" s="1" t="s">
        <v>4903</v>
      </c>
      <c r="H953" s="1" t="s">
        <v>104</v>
      </c>
      <c r="I953" s="1" t="s">
        <v>2881</v>
      </c>
      <c r="J953" s="5">
        <v>122350</v>
      </c>
      <c r="K953" s="1" t="s">
        <v>3394</v>
      </c>
      <c r="L953" s="5">
        <v>611.75</v>
      </c>
      <c r="M953" s="1" t="s">
        <v>2308</v>
      </c>
      <c r="N953" s="1" t="s">
        <v>3983</v>
      </c>
      <c r="O953" s="1" t="s">
        <v>2521</v>
      </c>
      <c r="P953" s="1" t="s">
        <v>3956</v>
      </c>
      <c r="Q953" s="1" t="s">
        <v>4794</v>
      </c>
      <c r="R953" s="1" t="s">
        <v>4063</v>
      </c>
      <c r="S953" s="1" t="s">
        <v>4937</v>
      </c>
      <c r="T953" s="6">
        <v>44593</v>
      </c>
      <c r="U953" s="6">
        <v>44599</v>
      </c>
      <c r="V953" s="7">
        <v>0.4597222222222222</v>
      </c>
      <c r="W953" s="6">
        <v>44602</v>
      </c>
      <c r="X953" s="7">
        <v>0.4597222222222222</v>
      </c>
      <c r="Y953" s="1" t="s">
        <v>4860</v>
      </c>
      <c r="Z953" s="5">
        <v>340</v>
      </c>
      <c r="AA953" s="1" t="s">
        <v>3403</v>
      </c>
      <c r="AB953" s="1"/>
      <c r="AC953" s="1"/>
      <c r="AD953" s="1"/>
      <c r="AE953" s="1" t="s">
        <v>3781</v>
      </c>
      <c r="AF953" s="1" t="s">
        <v>9</v>
      </c>
      <c r="AG953" s="4">
        <v>2</v>
      </c>
      <c r="AH953" s="1"/>
      <c r="AI953" s="6">
        <v>44926</v>
      </c>
    </row>
    <row r="954" spans="1:35" x14ac:dyDescent="0.3">
      <c r="A954" s="1" t="s">
        <v>1470</v>
      </c>
      <c r="B954" s="2" t="str">
        <f>HYPERLINK("https://my.zakupki.prom.ua/remote/dispatcher/state_purchase_view/34680166")</f>
        <v>https://my.zakupki.prom.ua/remote/dispatcher/state_purchase_view/34680166</v>
      </c>
      <c r="C954" s="1" t="s">
        <v>3216</v>
      </c>
      <c r="D954" s="1" t="s">
        <v>517</v>
      </c>
      <c r="E954" s="4">
        <v>1500</v>
      </c>
      <c r="F954" s="5">
        <v>130</v>
      </c>
      <c r="G954" s="1" t="s">
        <v>4989</v>
      </c>
      <c r="H954" s="1" t="s">
        <v>367</v>
      </c>
      <c r="I954" s="1" t="s">
        <v>2523</v>
      </c>
      <c r="J954" s="5">
        <v>195000</v>
      </c>
      <c r="K954" s="1" t="s">
        <v>3394</v>
      </c>
      <c r="L954" s="5">
        <v>1950</v>
      </c>
      <c r="M954" s="1" t="s">
        <v>2308</v>
      </c>
      <c r="N954" s="1" t="s">
        <v>3983</v>
      </c>
      <c r="O954" s="1" t="s">
        <v>2521</v>
      </c>
      <c r="P954" s="1" t="s">
        <v>2515</v>
      </c>
      <c r="Q954" s="1" t="s">
        <v>3878</v>
      </c>
      <c r="R954" s="1" t="s">
        <v>4082</v>
      </c>
      <c r="S954" s="1" t="s">
        <v>4971</v>
      </c>
      <c r="T954" s="6">
        <v>44593</v>
      </c>
      <c r="U954" s="6">
        <v>44593</v>
      </c>
      <c r="V954" s="7">
        <v>0.46438229725694447</v>
      </c>
      <c r="W954" s="6">
        <v>44609</v>
      </c>
      <c r="X954" s="7">
        <v>0.66666666666666663</v>
      </c>
      <c r="Y954" s="8">
        <v>44610.512465277781</v>
      </c>
      <c r="Z954" s="5">
        <v>340</v>
      </c>
      <c r="AA954" s="1" t="s">
        <v>3403</v>
      </c>
      <c r="AB954" s="1"/>
      <c r="AC954" s="1"/>
      <c r="AD954" s="1"/>
      <c r="AE954" s="1" t="s">
        <v>3765</v>
      </c>
      <c r="AF954" s="1" t="s">
        <v>9</v>
      </c>
      <c r="AG954" s="4">
        <v>2</v>
      </c>
      <c r="AH954" s="1"/>
      <c r="AI954" s="6">
        <v>44778</v>
      </c>
    </row>
    <row r="955" spans="1:35" x14ac:dyDescent="0.3">
      <c r="A955" s="1" t="s">
        <v>1487</v>
      </c>
      <c r="B955" s="2" t="str">
        <f>HYPERLINK("https://my.zakupki.prom.ua/remote/dispatcher/state_purchase_view/34680121")</f>
        <v>https://my.zakupki.prom.ua/remote/dispatcher/state_purchase_view/34680121</v>
      </c>
      <c r="C955" s="1" t="s">
        <v>3065</v>
      </c>
      <c r="D955" s="1" t="s">
        <v>701</v>
      </c>
      <c r="E955" s="4">
        <v>34</v>
      </c>
      <c r="F955" s="5">
        <v>1852.94</v>
      </c>
      <c r="G955" s="1" t="s">
        <v>4991</v>
      </c>
      <c r="H955" s="1" t="s">
        <v>23</v>
      </c>
      <c r="I955" s="1" t="s">
        <v>2391</v>
      </c>
      <c r="J955" s="5">
        <v>63000</v>
      </c>
      <c r="K955" s="1" t="s">
        <v>3394</v>
      </c>
      <c r="L955" s="5">
        <v>320</v>
      </c>
      <c r="M955" s="1" t="s">
        <v>2308</v>
      </c>
      <c r="N955" s="1" t="s">
        <v>3983</v>
      </c>
      <c r="O955" s="1" t="s">
        <v>2521</v>
      </c>
      <c r="P955" s="1" t="s">
        <v>3956</v>
      </c>
      <c r="Q955" s="1" t="s">
        <v>3035</v>
      </c>
      <c r="R955" s="1" t="s">
        <v>4077</v>
      </c>
      <c r="S955" s="1" t="s">
        <v>4937</v>
      </c>
      <c r="T955" s="6">
        <v>44593</v>
      </c>
      <c r="U955" s="6">
        <v>44599</v>
      </c>
      <c r="V955" s="7">
        <v>0.41666666666666669</v>
      </c>
      <c r="W955" s="6">
        <v>44602</v>
      </c>
      <c r="X955" s="7">
        <v>0.41666666666666669</v>
      </c>
      <c r="Y955" s="1" t="s">
        <v>4860</v>
      </c>
      <c r="Z955" s="5">
        <v>340</v>
      </c>
      <c r="AA955" s="1" t="s">
        <v>3403</v>
      </c>
      <c r="AB955" s="1"/>
      <c r="AC955" s="1"/>
      <c r="AD955" s="1"/>
      <c r="AE955" s="1" t="s">
        <v>3771</v>
      </c>
      <c r="AF955" s="1" t="s">
        <v>9</v>
      </c>
      <c r="AG955" s="4">
        <v>2</v>
      </c>
      <c r="AH955" s="6">
        <v>44613</v>
      </c>
      <c r="AI955" s="6">
        <v>44620</v>
      </c>
    </row>
    <row r="956" spans="1:35" x14ac:dyDescent="0.3">
      <c r="A956" s="1" t="s">
        <v>1334</v>
      </c>
      <c r="B956" s="2" t="str">
        <f>HYPERLINK("https://my.zakupki.prom.ua/remote/dispatcher/state_purchase_view/34680118")</f>
        <v>https://my.zakupki.prom.ua/remote/dispatcher/state_purchase_view/34680118</v>
      </c>
      <c r="C956" s="1" t="s">
        <v>3820</v>
      </c>
      <c r="D956" s="1" t="s">
        <v>415</v>
      </c>
      <c r="E956" s="4">
        <v>2000</v>
      </c>
      <c r="F956" s="5">
        <v>140</v>
      </c>
      <c r="G956" s="1" t="s">
        <v>4981</v>
      </c>
      <c r="H956" s="1" t="s">
        <v>270</v>
      </c>
      <c r="I956" s="1" t="s">
        <v>2692</v>
      </c>
      <c r="J956" s="5">
        <v>280000</v>
      </c>
      <c r="K956" s="1" t="s">
        <v>3394</v>
      </c>
      <c r="L956" s="5">
        <v>1400</v>
      </c>
      <c r="M956" s="1" t="s">
        <v>2308</v>
      </c>
      <c r="N956" s="1" t="s">
        <v>3983</v>
      </c>
      <c r="O956" s="1" t="s">
        <v>2521</v>
      </c>
      <c r="P956" s="1" t="s">
        <v>2762</v>
      </c>
      <c r="Q956" s="1" t="s">
        <v>3035</v>
      </c>
      <c r="R956" s="1" t="s">
        <v>4081</v>
      </c>
      <c r="S956" s="1" t="s">
        <v>4937</v>
      </c>
      <c r="T956" s="6">
        <v>44593</v>
      </c>
      <c r="U956" s="6">
        <v>44597</v>
      </c>
      <c r="V956" s="7">
        <v>0</v>
      </c>
      <c r="W956" s="6">
        <v>44601</v>
      </c>
      <c r="X956" s="7">
        <v>0</v>
      </c>
      <c r="Y956" s="1" t="s">
        <v>4860</v>
      </c>
      <c r="Z956" s="5">
        <v>510</v>
      </c>
      <c r="AA956" s="1" t="s">
        <v>3403</v>
      </c>
      <c r="AB956" s="1"/>
      <c r="AC956" s="1"/>
      <c r="AD956" s="1"/>
      <c r="AE956" s="1" t="s">
        <v>3806</v>
      </c>
      <c r="AF956" s="1" t="s">
        <v>9</v>
      </c>
      <c r="AG956" s="4">
        <v>2</v>
      </c>
      <c r="AH956" s="6">
        <v>44606</v>
      </c>
      <c r="AI956" s="6">
        <v>44926</v>
      </c>
    </row>
    <row r="957" spans="1:35" x14ac:dyDescent="0.3">
      <c r="A957" s="1" t="s">
        <v>1489</v>
      </c>
      <c r="B957" s="2" t="str">
        <f>HYPERLINK("https://my.zakupki.prom.ua/remote/dispatcher/state_purchase_view/34680113")</f>
        <v>https://my.zakupki.prom.ua/remote/dispatcher/state_purchase_view/34680113</v>
      </c>
      <c r="C957" s="1" t="s">
        <v>3270</v>
      </c>
      <c r="D957" s="1" t="s">
        <v>801</v>
      </c>
      <c r="E957" s="1" t="s">
        <v>4903</v>
      </c>
      <c r="F957" s="1" t="s">
        <v>4903</v>
      </c>
      <c r="G957" s="1" t="s">
        <v>4903</v>
      </c>
      <c r="H957" s="1" t="s">
        <v>933</v>
      </c>
      <c r="I957" s="1" t="s">
        <v>3148</v>
      </c>
      <c r="J957" s="5">
        <v>129000</v>
      </c>
      <c r="K957" s="1" t="s">
        <v>3394</v>
      </c>
      <c r="L957" s="5">
        <v>645</v>
      </c>
      <c r="M957" s="1" t="s">
        <v>2308</v>
      </c>
      <c r="N957" s="1" t="s">
        <v>3403</v>
      </c>
      <c r="O957" s="1" t="s">
        <v>2521</v>
      </c>
      <c r="P957" s="1" t="s">
        <v>3956</v>
      </c>
      <c r="Q957" s="1" t="s">
        <v>3992</v>
      </c>
      <c r="R957" s="1" t="s">
        <v>4265</v>
      </c>
      <c r="S957" s="1" t="s">
        <v>4937</v>
      </c>
      <c r="T957" s="6">
        <v>44593</v>
      </c>
      <c r="U957" s="6">
        <v>44599</v>
      </c>
      <c r="V957" s="7">
        <v>0</v>
      </c>
      <c r="W957" s="6">
        <v>44602</v>
      </c>
      <c r="X957" s="7">
        <v>0</v>
      </c>
      <c r="Y957" s="1" t="s">
        <v>4860</v>
      </c>
      <c r="Z957" s="5">
        <v>340</v>
      </c>
      <c r="AA957" s="1" t="s">
        <v>3403</v>
      </c>
      <c r="AB957" s="1"/>
      <c r="AC957" s="1"/>
      <c r="AD957" s="1"/>
      <c r="AE957" s="1" t="s">
        <v>3782</v>
      </c>
      <c r="AF957" s="1" t="s">
        <v>9</v>
      </c>
      <c r="AG957" s="1" t="s">
        <v>9</v>
      </c>
      <c r="AH957" s="1"/>
      <c r="AI957" s="6">
        <v>44926</v>
      </c>
    </row>
    <row r="958" spans="1:35" x14ac:dyDescent="0.3">
      <c r="A958" s="1" t="s">
        <v>1772</v>
      </c>
      <c r="B958" s="2" t="str">
        <f>HYPERLINK("https://my.zakupki.prom.ua/remote/dispatcher/state_purchase_view/34680069")</f>
        <v>https://my.zakupki.prom.ua/remote/dispatcher/state_purchase_view/34680069</v>
      </c>
      <c r="C958" s="1" t="s">
        <v>3305</v>
      </c>
      <c r="D958" s="1" t="s">
        <v>699</v>
      </c>
      <c r="E958" s="1" t="s">
        <v>4903</v>
      </c>
      <c r="F958" s="1" t="s">
        <v>4903</v>
      </c>
      <c r="G958" s="1" t="s">
        <v>4903</v>
      </c>
      <c r="H958" s="1" t="s">
        <v>263</v>
      </c>
      <c r="I958" s="1" t="s">
        <v>3191</v>
      </c>
      <c r="J958" s="5">
        <v>104463</v>
      </c>
      <c r="K958" s="1" t="s">
        <v>3394</v>
      </c>
      <c r="L958" s="5">
        <v>522.32000000000005</v>
      </c>
      <c r="M958" s="1" t="s">
        <v>2308</v>
      </c>
      <c r="N958" s="1" t="s">
        <v>3983</v>
      </c>
      <c r="O958" s="1" t="s">
        <v>2521</v>
      </c>
      <c r="P958" s="1" t="s">
        <v>3956</v>
      </c>
      <c r="Q958" s="1" t="s">
        <v>3035</v>
      </c>
      <c r="R958" s="1" t="s">
        <v>4689</v>
      </c>
      <c r="S958" s="1" t="s">
        <v>4937</v>
      </c>
      <c r="T958" s="6">
        <v>44593</v>
      </c>
      <c r="U958" s="6">
        <v>44599</v>
      </c>
      <c r="V958" s="7">
        <v>0.4375</v>
      </c>
      <c r="W958" s="6">
        <v>44603</v>
      </c>
      <c r="X958" s="7">
        <v>0.45833333333333331</v>
      </c>
      <c r="Y958" s="1" t="s">
        <v>4860</v>
      </c>
      <c r="Z958" s="5">
        <v>340</v>
      </c>
      <c r="AA958" s="1" t="s">
        <v>3403</v>
      </c>
      <c r="AB958" s="1"/>
      <c r="AC958" s="1"/>
      <c r="AD958" s="1"/>
      <c r="AE958" s="1" t="s">
        <v>3787</v>
      </c>
      <c r="AF958" s="1" t="s">
        <v>9</v>
      </c>
      <c r="AG958" s="4">
        <v>9</v>
      </c>
      <c r="AH958" s="1"/>
      <c r="AI958" s="6">
        <v>44926</v>
      </c>
    </row>
    <row r="959" spans="1:35" x14ac:dyDescent="0.3">
      <c r="A959" s="1" t="s">
        <v>1483</v>
      </c>
      <c r="B959" s="2" t="str">
        <f>HYPERLINK("https://my.zakupki.prom.ua/remote/dispatcher/state_purchase_view/34680045")</f>
        <v>https://my.zakupki.prom.ua/remote/dispatcher/state_purchase_view/34680045</v>
      </c>
      <c r="C959" s="1" t="s">
        <v>3916</v>
      </c>
      <c r="D959" s="1" t="s">
        <v>475</v>
      </c>
      <c r="E959" s="1" t="s">
        <v>4903</v>
      </c>
      <c r="F959" s="1" t="s">
        <v>4903</v>
      </c>
      <c r="G959" s="1" t="s">
        <v>4903</v>
      </c>
      <c r="H959" s="1" t="s">
        <v>190</v>
      </c>
      <c r="I959" s="1" t="s">
        <v>2861</v>
      </c>
      <c r="J959" s="5">
        <v>396081.4</v>
      </c>
      <c r="K959" s="1" t="s">
        <v>3394</v>
      </c>
      <c r="L959" s="5">
        <v>3486</v>
      </c>
      <c r="M959" s="1" t="s">
        <v>2308</v>
      </c>
      <c r="N959" s="1" t="s">
        <v>3983</v>
      </c>
      <c r="O959" s="1" t="s">
        <v>846</v>
      </c>
      <c r="P959" s="1" t="s">
        <v>2515</v>
      </c>
      <c r="Q959" s="1" t="s">
        <v>4794</v>
      </c>
      <c r="R959" s="1" t="s">
        <v>4632</v>
      </c>
      <c r="S959" s="1" t="s">
        <v>4971</v>
      </c>
      <c r="T959" s="6">
        <v>44593</v>
      </c>
      <c r="U959" s="6">
        <v>44593</v>
      </c>
      <c r="V959" s="7">
        <v>0.46875</v>
      </c>
      <c r="W959" s="6">
        <v>44609</v>
      </c>
      <c r="X959" s="7">
        <v>0</v>
      </c>
      <c r="Y959" s="8">
        <v>44609.541284722225</v>
      </c>
      <c r="Z959" s="5">
        <v>510</v>
      </c>
      <c r="AA959" s="1" t="s">
        <v>3403</v>
      </c>
      <c r="AB959" s="1"/>
      <c r="AC959" s="1"/>
      <c r="AD959" s="1"/>
      <c r="AE959" s="1" t="s">
        <v>3774</v>
      </c>
      <c r="AF959" s="1" t="s">
        <v>9</v>
      </c>
      <c r="AG959" s="1" t="s">
        <v>9</v>
      </c>
      <c r="AH959" s="1"/>
      <c r="AI959" s="6">
        <v>44926</v>
      </c>
    </row>
    <row r="960" spans="1:35" x14ac:dyDescent="0.3">
      <c r="A960" s="1" t="s">
        <v>1491</v>
      </c>
      <c r="B960" s="2" t="str">
        <f>HYPERLINK("https://my.zakupki.prom.ua/remote/dispatcher/state_purchase_view/34680038")</f>
        <v>https://my.zakupki.prom.ua/remote/dispatcher/state_purchase_view/34680038</v>
      </c>
      <c r="C960" s="1" t="s">
        <v>2630</v>
      </c>
      <c r="D960" s="1" t="s">
        <v>1264</v>
      </c>
      <c r="E960" s="4">
        <v>30</v>
      </c>
      <c r="F960" s="5">
        <v>163.33000000000001</v>
      </c>
      <c r="G960" s="1" t="s">
        <v>4940</v>
      </c>
      <c r="H960" s="1" t="s">
        <v>117</v>
      </c>
      <c r="I960" s="1" t="s">
        <v>3107</v>
      </c>
      <c r="J960" s="5">
        <v>4900</v>
      </c>
      <c r="K960" s="1" t="s">
        <v>3394</v>
      </c>
      <c r="L960" s="5">
        <v>24.5</v>
      </c>
      <c r="M960" s="1" t="s">
        <v>2308</v>
      </c>
      <c r="N960" s="1" t="s">
        <v>3983</v>
      </c>
      <c r="O960" s="1" t="s">
        <v>2521</v>
      </c>
      <c r="P960" s="1" t="s">
        <v>3956</v>
      </c>
      <c r="Q960" s="1" t="s">
        <v>4831</v>
      </c>
      <c r="R960" s="1" t="s">
        <v>4081</v>
      </c>
      <c r="S960" s="1" t="s">
        <v>4937</v>
      </c>
      <c r="T960" s="6">
        <v>44593</v>
      </c>
      <c r="U960" s="6">
        <v>44599</v>
      </c>
      <c r="V960" s="7">
        <v>0</v>
      </c>
      <c r="W960" s="6">
        <v>44602</v>
      </c>
      <c r="X960" s="7">
        <v>0</v>
      </c>
      <c r="Y960" s="1" t="s">
        <v>4860</v>
      </c>
      <c r="Z960" s="5">
        <v>17</v>
      </c>
      <c r="AA960" s="1" t="s">
        <v>3403</v>
      </c>
      <c r="AB960" s="1"/>
      <c r="AC960" s="1"/>
      <c r="AD960" s="1"/>
      <c r="AE960" s="1" t="s">
        <v>3744</v>
      </c>
      <c r="AF960" s="1" t="s">
        <v>9</v>
      </c>
      <c r="AG960" s="4">
        <v>2</v>
      </c>
      <c r="AH960" s="1"/>
      <c r="AI960" s="6">
        <v>44926</v>
      </c>
    </row>
    <row r="961" spans="1:35" x14ac:dyDescent="0.3">
      <c r="A961" s="1" t="s">
        <v>1780</v>
      </c>
      <c r="B961" s="2" t="str">
        <f>HYPERLINK("https://my.zakupki.prom.ua/remote/dispatcher/state_purchase_view/34679628")</f>
        <v>https://my.zakupki.prom.ua/remote/dispatcher/state_purchase_view/34679628</v>
      </c>
      <c r="C961" s="1" t="s">
        <v>2780</v>
      </c>
      <c r="D961" s="1" t="s">
        <v>387</v>
      </c>
      <c r="E961" s="1" t="s">
        <v>4903</v>
      </c>
      <c r="F961" s="1" t="s">
        <v>4903</v>
      </c>
      <c r="G961" s="1" t="s">
        <v>4903</v>
      </c>
      <c r="H961" s="1" t="s">
        <v>988</v>
      </c>
      <c r="I961" s="1" t="s">
        <v>2947</v>
      </c>
      <c r="J961" s="5">
        <v>3267120.84</v>
      </c>
      <c r="K961" s="1" t="s">
        <v>3394</v>
      </c>
      <c r="L961" s="5">
        <v>16335.6</v>
      </c>
      <c r="M961" s="1" t="s">
        <v>2308</v>
      </c>
      <c r="N961" s="1" t="s">
        <v>3983</v>
      </c>
      <c r="O961" s="1" t="s">
        <v>2521</v>
      </c>
      <c r="P961" s="1" t="s">
        <v>2515</v>
      </c>
      <c r="Q961" s="1" t="s">
        <v>3426</v>
      </c>
      <c r="R961" s="1" t="s">
        <v>4081</v>
      </c>
      <c r="S961" s="1" t="s">
        <v>4971</v>
      </c>
      <c r="T961" s="6">
        <v>44593</v>
      </c>
      <c r="U961" s="6">
        <v>44593</v>
      </c>
      <c r="V961" s="7">
        <v>0.4679098895601852</v>
      </c>
      <c r="W961" s="6">
        <v>44609</v>
      </c>
      <c r="X961" s="7">
        <v>0.42777777777777776</v>
      </c>
      <c r="Y961" s="8">
        <v>44610.527754629627</v>
      </c>
      <c r="Z961" s="5">
        <v>1700</v>
      </c>
      <c r="AA961" s="1" t="s">
        <v>3403</v>
      </c>
      <c r="AB961" s="1"/>
      <c r="AC961" s="1"/>
      <c r="AD961" s="1"/>
      <c r="AE961" s="1" t="s">
        <v>3787</v>
      </c>
      <c r="AF961" s="1" t="s">
        <v>9</v>
      </c>
      <c r="AG961" s="4">
        <v>3</v>
      </c>
      <c r="AH961" s="1"/>
      <c r="AI961" s="6">
        <v>44926</v>
      </c>
    </row>
    <row r="962" spans="1:35" x14ac:dyDescent="0.3">
      <c r="A962" s="1" t="s">
        <v>1779</v>
      </c>
      <c r="B962" s="2" t="str">
        <f>HYPERLINK("https://my.zakupki.prom.ua/remote/dispatcher/state_purchase_view/34679951")</f>
        <v>https://my.zakupki.prom.ua/remote/dispatcher/state_purchase_view/34679951</v>
      </c>
      <c r="C962" s="1" t="s">
        <v>4882</v>
      </c>
      <c r="D962" s="1" t="s">
        <v>1145</v>
      </c>
      <c r="E962" s="4">
        <v>1</v>
      </c>
      <c r="F962" s="5">
        <v>1700000</v>
      </c>
      <c r="G962" s="1" t="s">
        <v>4976</v>
      </c>
      <c r="H962" s="1" t="s">
        <v>886</v>
      </c>
      <c r="I962" s="1" t="s">
        <v>2560</v>
      </c>
      <c r="J962" s="5">
        <v>1700000</v>
      </c>
      <c r="K962" s="1" t="s">
        <v>3394</v>
      </c>
      <c r="L962" s="5">
        <v>8500</v>
      </c>
      <c r="M962" s="1" t="s">
        <v>2308</v>
      </c>
      <c r="N962" s="1" t="s">
        <v>3983</v>
      </c>
      <c r="O962" s="1" t="s">
        <v>1252</v>
      </c>
      <c r="P962" s="1" t="s">
        <v>2515</v>
      </c>
      <c r="Q962" s="1" t="s">
        <v>2761</v>
      </c>
      <c r="R962" s="1" t="s">
        <v>4230</v>
      </c>
      <c r="S962" s="1" t="s">
        <v>4971</v>
      </c>
      <c r="T962" s="6">
        <v>44593</v>
      </c>
      <c r="U962" s="6">
        <v>44593</v>
      </c>
      <c r="V962" s="7">
        <v>0.46788303290509259</v>
      </c>
      <c r="W962" s="6">
        <v>44614</v>
      </c>
      <c r="X962" s="7">
        <v>0.70833333333333337</v>
      </c>
      <c r="Y962" s="8">
        <v>44615.561180555553</v>
      </c>
      <c r="Z962" s="5">
        <v>1700</v>
      </c>
      <c r="AA962" s="1" t="s">
        <v>3403</v>
      </c>
      <c r="AB962" s="1"/>
      <c r="AC962" s="1"/>
      <c r="AD962" s="1"/>
      <c r="AE962" s="1" t="s">
        <v>3704</v>
      </c>
      <c r="AF962" s="1" t="s">
        <v>9</v>
      </c>
      <c r="AG962" s="4">
        <v>24</v>
      </c>
      <c r="AH962" s="6">
        <v>44669</v>
      </c>
      <c r="AI962" s="6">
        <v>44748</v>
      </c>
    </row>
    <row r="963" spans="1:35" x14ac:dyDescent="0.3">
      <c r="A963" s="1" t="s">
        <v>1776</v>
      </c>
      <c r="B963" s="2" t="str">
        <f>HYPERLINK("https://my.zakupki.prom.ua/remote/dispatcher/state_purchase_view/34679928")</f>
        <v>https://my.zakupki.prom.ua/remote/dispatcher/state_purchase_view/34679928</v>
      </c>
      <c r="C963" s="1" t="s">
        <v>2625</v>
      </c>
      <c r="D963" s="1" t="s">
        <v>1091</v>
      </c>
      <c r="E963" s="4">
        <v>3</v>
      </c>
      <c r="F963" s="5">
        <v>10000</v>
      </c>
      <c r="G963" s="1" t="s">
        <v>4924</v>
      </c>
      <c r="H963" s="1" t="s">
        <v>196</v>
      </c>
      <c r="I963" s="1" t="s">
        <v>4830</v>
      </c>
      <c r="J963" s="5">
        <v>30000</v>
      </c>
      <c r="K963" s="1" t="s">
        <v>3394</v>
      </c>
      <c r="L963" s="5">
        <v>300</v>
      </c>
      <c r="M963" s="1" t="s">
        <v>2308</v>
      </c>
      <c r="N963" s="1" t="s">
        <v>3983</v>
      </c>
      <c r="O963" s="1" t="s">
        <v>2521</v>
      </c>
      <c r="P963" s="1" t="s">
        <v>3956</v>
      </c>
      <c r="Q963" s="1" t="s">
        <v>4834</v>
      </c>
      <c r="R963" s="1" t="s">
        <v>4107</v>
      </c>
      <c r="S963" s="1" t="s">
        <v>4937</v>
      </c>
      <c r="T963" s="6">
        <v>44593</v>
      </c>
      <c r="U963" s="6">
        <v>44599</v>
      </c>
      <c r="V963" s="7">
        <v>0</v>
      </c>
      <c r="W963" s="6">
        <v>44602</v>
      </c>
      <c r="X963" s="7">
        <v>0</v>
      </c>
      <c r="Y963" s="1" t="s">
        <v>4860</v>
      </c>
      <c r="Z963" s="5">
        <v>119</v>
      </c>
      <c r="AA963" s="1" t="s">
        <v>3403</v>
      </c>
      <c r="AB963" s="1"/>
      <c r="AC963" s="1"/>
      <c r="AD963" s="1"/>
      <c r="AE963" s="1" t="s">
        <v>3787</v>
      </c>
      <c r="AF963" s="1" t="s">
        <v>9</v>
      </c>
      <c r="AG963" s="4">
        <v>11</v>
      </c>
      <c r="AH963" s="1"/>
      <c r="AI963" s="6">
        <v>44742</v>
      </c>
    </row>
    <row r="964" spans="1:35" x14ac:dyDescent="0.3">
      <c r="A964" s="1" t="s">
        <v>1733</v>
      </c>
      <c r="B964" s="2" t="str">
        <f>HYPERLINK("https://my.zakupki.prom.ua/remote/dispatcher/state_purchase_view/34679917")</f>
        <v>https://my.zakupki.prom.ua/remote/dispatcher/state_purchase_view/34679917</v>
      </c>
      <c r="C964" s="1" t="s">
        <v>3512</v>
      </c>
      <c r="D964" s="1" t="s">
        <v>1290</v>
      </c>
      <c r="E964" s="4">
        <v>1</v>
      </c>
      <c r="F964" s="5">
        <v>101436.83</v>
      </c>
      <c r="G964" s="1" t="s">
        <v>4940</v>
      </c>
      <c r="H964" s="1" t="s">
        <v>568</v>
      </c>
      <c r="I964" s="1" t="s">
        <v>3033</v>
      </c>
      <c r="J964" s="5">
        <v>101436.83</v>
      </c>
      <c r="K964" s="1" t="s">
        <v>3394</v>
      </c>
      <c r="L964" s="5">
        <v>507.18</v>
      </c>
      <c r="M964" s="1" t="s">
        <v>2308</v>
      </c>
      <c r="N964" s="1" t="s">
        <v>3983</v>
      </c>
      <c r="O964" s="1" t="s">
        <v>2521</v>
      </c>
      <c r="P964" s="1" t="s">
        <v>3956</v>
      </c>
      <c r="Q964" s="1" t="s">
        <v>3035</v>
      </c>
      <c r="R964" s="1" t="s">
        <v>4117</v>
      </c>
      <c r="S964" s="1" t="s">
        <v>4937</v>
      </c>
      <c r="T964" s="6">
        <v>44593</v>
      </c>
      <c r="U964" s="6">
        <v>44600</v>
      </c>
      <c r="V964" s="7">
        <v>0.46481481481481479</v>
      </c>
      <c r="W964" s="6">
        <v>44603</v>
      </c>
      <c r="X964" s="7">
        <v>0.46481481481481479</v>
      </c>
      <c r="Y964" s="1" t="s">
        <v>4860</v>
      </c>
      <c r="Z964" s="5">
        <v>340</v>
      </c>
      <c r="AA964" s="1" t="s">
        <v>3403</v>
      </c>
      <c r="AB964" s="1"/>
      <c r="AC964" s="1"/>
      <c r="AD964" s="1"/>
      <c r="AE964" s="1" t="s">
        <v>3761</v>
      </c>
      <c r="AF964" s="1" t="s">
        <v>9</v>
      </c>
      <c r="AG964" s="1" t="s">
        <v>9</v>
      </c>
      <c r="AH964" s="6">
        <v>44652</v>
      </c>
      <c r="AI964" s="6">
        <v>44926</v>
      </c>
    </row>
    <row r="965" spans="1:35" x14ac:dyDescent="0.3">
      <c r="A965" s="1" t="s">
        <v>1465</v>
      </c>
      <c r="B965" s="2" t="str">
        <f>HYPERLINK("https://my.zakupki.prom.ua/remote/dispatcher/state_purchase_view/34679913")</f>
        <v>https://my.zakupki.prom.ua/remote/dispatcher/state_purchase_view/34679913</v>
      </c>
      <c r="C965" s="1" t="s">
        <v>3229</v>
      </c>
      <c r="D965" s="1" t="s">
        <v>1125</v>
      </c>
      <c r="E965" s="4">
        <v>1</v>
      </c>
      <c r="F965" s="5">
        <v>143520.64000000001</v>
      </c>
      <c r="G965" s="1" t="s">
        <v>4906</v>
      </c>
      <c r="H965" s="1" t="s">
        <v>353</v>
      </c>
      <c r="I965" s="1" t="s">
        <v>2586</v>
      </c>
      <c r="J965" s="5">
        <v>143520.64000000001</v>
      </c>
      <c r="K965" s="1" t="s">
        <v>3394</v>
      </c>
      <c r="L965" s="5">
        <v>717.6</v>
      </c>
      <c r="M965" s="1" t="s">
        <v>2308</v>
      </c>
      <c r="N965" s="1" t="s">
        <v>3403</v>
      </c>
      <c r="O965" s="1" t="s">
        <v>2521</v>
      </c>
      <c r="P965" s="1" t="s">
        <v>2762</v>
      </c>
      <c r="Q965" s="1" t="s">
        <v>4794</v>
      </c>
      <c r="R965" s="1" t="s">
        <v>4081</v>
      </c>
      <c r="S965" s="1" t="s">
        <v>4937</v>
      </c>
      <c r="T965" s="6">
        <v>44593</v>
      </c>
      <c r="U965" s="6">
        <v>44597</v>
      </c>
      <c r="V965" s="7">
        <v>0.29166666666666669</v>
      </c>
      <c r="W965" s="6">
        <v>44601</v>
      </c>
      <c r="X965" s="7">
        <v>0.29166666666666669</v>
      </c>
      <c r="Y965" s="1" t="s">
        <v>4860</v>
      </c>
      <c r="Z965" s="5">
        <v>340</v>
      </c>
      <c r="AA965" s="1" t="s">
        <v>3403</v>
      </c>
      <c r="AB965" s="1"/>
      <c r="AC965" s="1"/>
      <c r="AD965" s="1"/>
      <c r="AE965" s="1" t="s">
        <v>3794</v>
      </c>
      <c r="AF965" s="1" t="s">
        <v>9</v>
      </c>
      <c r="AG965" s="1" t="s">
        <v>9</v>
      </c>
      <c r="AH965" s="1"/>
      <c r="AI965" s="1"/>
    </row>
    <row r="966" spans="1:35" x14ac:dyDescent="0.3">
      <c r="A966" s="1" t="s">
        <v>1775</v>
      </c>
      <c r="B966" s="2" t="str">
        <f>HYPERLINK("https://my.zakupki.prom.ua/remote/dispatcher/state_purchase_view/34679908")</f>
        <v>https://my.zakupki.prom.ua/remote/dispatcher/state_purchase_view/34679908</v>
      </c>
      <c r="C966" s="1" t="s">
        <v>3526</v>
      </c>
      <c r="D966" s="1" t="s">
        <v>1231</v>
      </c>
      <c r="E966" s="4">
        <v>1</v>
      </c>
      <c r="F966" s="5">
        <v>17300</v>
      </c>
      <c r="G966" s="1" t="s">
        <v>4940</v>
      </c>
      <c r="H966" s="1" t="s">
        <v>417</v>
      </c>
      <c r="I966" s="1" t="s">
        <v>2584</v>
      </c>
      <c r="J966" s="5">
        <v>17300</v>
      </c>
      <c r="K966" s="1" t="s">
        <v>3394</v>
      </c>
      <c r="L966" s="5">
        <v>86.5</v>
      </c>
      <c r="M966" s="1" t="s">
        <v>2308</v>
      </c>
      <c r="N966" s="1" t="s">
        <v>3983</v>
      </c>
      <c r="O966" s="1" t="s">
        <v>2521</v>
      </c>
      <c r="P966" s="1" t="s">
        <v>3956</v>
      </c>
      <c r="Q966" s="1" t="s">
        <v>4911</v>
      </c>
      <c r="R966" s="1" t="s">
        <v>4379</v>
      </c>
      <c r="S966" s="1" t="s">
        <v>4937</v>
      </c>
      <c r="T966" s="6">
        <v>44593</v>
      </c>
      <c r="U966" s="6">
        <v>44599</v>
      </c>
      <c r="V966" s="7">
        <v>0.54166666666666663</v>
      </c>
      <c r="W966" s="6">
        <v>44602</v>
      </c>
      <c r="X966" s="7">
        <v>0.45833333333333331</v>
      </c>
      <c r="Y966" s="1" t="s">
        <v>4860</v>
      </c>
      <c r="Z966" s="5">
        <v>17</v>
      </c>
      <c r="AA966" s="1" t="s">
        <v>3403</v>
      </c>
      <c r="AB966" s="1"/>
      <c r="AC966" s="1"/>
      <c r="AD966" s="1"/>
      <c r="AE966" s="1" t="s">
        <v>3812</v>
      </c>
      <c r="AF966" s="1" t="s">
        <v>9</v>
      </c>
      <c r="AG966" s="4">
        <v>1</v>
      </c>
      <c r="AH966" s="1"/>
      <c r="AI966" s="6">
        <v>44926</v>
      </c>
    </row>
    <row r="967" spans="1:35" x14ac:dyDescent="0.3">
      <c r="A967" s="1" t="s">
        <v>1328</v>
      </c>
      <c r="B967" s="2" t="str">
        <f>HYPERLINK("https://my.zakupki.prom.ua/remote/dispatcher/state_purchase_view/34679915")</f>
        <v>https://my.zakupki.prom.ua/remote/dispatcher/state_purchase_view/34679915</v>
      </c>
      <c r="C967" s="1" t="s">
        <v>2677</v>
      </c>
      <c r="D967" s="1" t="s">
        <v>1241</v>
      </c>
      <c r="E967" s="4">
        <v>1</v>
      </c>
      <c r="F967" s="5">
        <v>552250</v>
      </c>
      <c r="G967" s="1" t="s">
        <v>4939</v>
      </c>
      <c r="H967" s="1" t="s">
        <v>233</v>
      </c>
      <c r="I967" s="1" t="s">
        <v>3465</v>
      </c>
      <c r="J967" s="5">
        <v>552250</v>
      </c>
      <c r="K967" s="1" t="s">
        <v>3394</v>
      </c>
      <c r="L967" s="5">
        <v>5522.5</v>
      </c>
      <c r="M967" s="1" t="s">
        <v>2308</v>
      </c>
      <c r="N967" s="1" t="s">
        <v>3983</v>
      </c>
      <c r="O967" s="1" t="s">
        <v>2521</v>
      </c>
      <c r="P967" s="1" t="s">
        <v>3956</v>
      </c>
      <c r="Q967" s="1" t="s">
        <v>3035</v>
      </c>
      <c r="R967" s="1" t="s">
        <v>4081</v>
      </c>
      <c r="S967" s="1" t="s">
        <v>4937</v>
      </c>
      <c r="T967" s="6">
        <v>44593</v>
      </c>
      <c r="U967" s="6">
        <v>44599</v>
      </c>
      <c r="V967" s="7">
        <v>0.54166666666666663</v>
      </c>
      <c r="W967" s="6">
        <v>44602</v>
      </c>
      <c r="X967" s="7">
        <v>0.58333333333333337</v>
      </c>
      <c r="Y967" s="1" t="s">
        <v>4860</v>
      </c>
      <c r="Z967" s="5">
        <v>510</v>
      </c>
      <c r="AA967" s="1" t="s">
        <v>3403</v>
      </c>
      <c r="AB967" s="1"/>
      <c r="AC967" s="1"/>
      <c r="AD967" s="1"/>
      <c r="AE967" s="1" t="s">
        <v>3756</v>
      </c>
      <c r="AF967" s="1" t="s">
        <v>9</v>
      </c>
      <c r="AG967" s="4">
        <v>191</v>
      </c>
      <c r="AH967" s="1"/>
      <c r="AI967" s="6">
        <v>44926</v>
      </c>
    </row>
    <row r="968" spans="1:35" x14ac:dyDescent="0.3">
      <c r="A968" s="1" t="s">
        <v>1428</v>
      </c>
      <c r="B968" s="2" t="str">
        <f>HYPERLINK("https://my.zakupki.prom.ua/remote/dispatcher/state_purchase_view/34679901")</f>
        <v>https://my.zakupki.prom.ua/remote/dispatcher/state_purchase_view/34679901</v>
      </c>
      <c r="C968" s="1" t="s">
        <v>2532</v>
      </c>
      <c r="D968" s="1" t="s">
        <v>370</v>
      </c>
      <c r="E968" s="4">
        <v>6800</v>
      </c>
      <c r="F968" s="5">
        <v>18.97</v>
      </c>
      <c r="G968" s="1" t="s">
        <v>4908</v>
      </c>
      <c r="H968" s="1" t="s">
        <v>40</v>
      </c>
      <c r="I968" s="1" t="s">
        <v>3140</v>
      </c>
      <c r="J968" s="5">
        <v>129000</v>
      </c>
      <c r="K968" s="1" t="s">
        <v>3394</v>
      </c>
      <c r="L968" s="5">
        <v>1290</v>
      </c>
      <c r="M968" s="1" t="s">
        <v>2308</v>
      </c>
      <c r="N968" s="1" t="s">
        <v>3983</v>
      </c>
      <c r="O968" s="1" t="s">
        <v>2521</v>
      </c>
      <c r="P968" s="1" t="s">
        <v>2515</v>
      </c>
      <c r="Q968" s="1" t="s">
        <v>3970</v>
      </c>
      <c r="R968" s="1" t="s">
        <v>4512</v>
      </c>
      <c r="S968" s="1" t="s">
        <v>4971</v>
      </c>
      <c r="T968" s="6">
        <v>44593</v>
      </c>
      <c r="U968" s="6">
        <v>44593</v>
      </c>
      <c r="V968" s="7">
        <v>0.45682298004629629</v>
      </c>
      <c r="W968" s="6">
        <v>44610</v>
      </c>
      <c r="X968" s="7">
        <v>0.45833333333333331</v>
      </c>
      <c r="Y968" s="8">
        <v>44613.565474537034</v>
      </c>
      <c r="Z968" s="5">
        <v>340</v>
      </c>
      <c r="AA968" s="1" t="s">
        <v>3403</v>
      </c>
      <c r="AB968" s="1"/>
      <c r="AC968" s="1"/>
      <c r="AD968" s="1"/>
      <c r="AE968" s="1" t="s">
        <v>3775</v>
      </c>
      <c r="AF968" s="1" t="s">
        <v>9</v>
      </c>
      <c r="AG968" s="4">
        <v>5</v>
      </c>
      <c r="AH968" s="1"/>
      <c r="AI968" s="6">
        <v>44926</v>
      </c>
    </row>
    <row r="969" spans="1:35" x14ac:dyDescent="0.3">
      <c r="A969" s="1" t="s">
        <v>1774</v>
      </c>
      <c r="B969" s="2" t="str">
        <f>HYPERLINK("https://my.zakupki.prom.ua/remote/dispatcher/state_purchase_view/34679626")</f>
        <v>https://my.zakupki.prom.ua/remote/dispatcher/state_purchase_view/34679626</v>
      </c>
      <c r="C969" s="1" t="s">
        <v>2595</v>
      </c>
      <c r="D969" s="1" t="s">
        <v>1227</v>
      </c>
      <c r="E969" s="4">
        <v>1</v>
      </c>
      <c r="F969" s="5">
        <v>52000</v>
      </c>
      <c r="G969" s="1" t="s">
        <v>4940</v>
      </c>
      <c r="H969" s="1" t="s">
        <v>650</v>
      </c>
      <c r="I969" s="1" t="s">
        <v>2880</v>
      </c>
      <c r="J969" s="5">
        <v>52000</v>
      </c>
      <c r="K969" s="1" t="s">
        <v>3394</v>
      </c>
      <c r="L969" s="5">
        <v>260</v>
      </c>
      <c r="M969" s="1" t="s">
        <v>2308</v>
      </c>
      <c r="N969" s="1" t="s">
        <v>3983</v>
      </c>
      <c r="O969" s="1" t="s">
        <v>2521</v>
      </c>
      <c r="P969" s="1" t="s">
        <v>3956</v>
      </c>
      <c r="Q969" s="1" t="s">
        <v>4911</v>
      </c>
      <c r="R969" s="1" t="s">
        <v>4690</v>
      </c>
      <c r="S969" s="1" t="s">
        <v>4937</v>
      </c>
      <c r="T969" s="6">
        <v>44593</v>
      </c>
      <c r="U969" s="6">
        <v>44599</v>
      </c>
      <c r="V969" s="7">
        <v>0.5</v>
      </c>
      <c r="W969" s="6">
        <v>44602</v>
      </c>
      <c r="X969" s="7">
        <v>0.75</v>
      </c>
      <c r="Y969" s="1" t="s">
        <v>4860</v>
      </c>
      <c r="Z969" s="5">
        <v>340</v>
      </c>
      <c r="AA969" s="1" t="s">
        <v>3403</v>
      </c>
      <c r="AB969" s="1"/>
      <c r="AC969" s="1"/>
      <c r="AD969" s="1"/>
      <c r="AE969" s="1" t="s">
        <v>3729</v>
      </c>
      <c r="AF969" s="1" t="s">
        <v>9</v>
      </c>
      <c r="AG969" s="4">
        <v>7</v>
      </c>
      <c r="AH969" s="1"/>
      <c r="AI969" s="6">
        <v>44926</v>
      </c>
    </row>
    <row r="970" spans="1:35" x14ac:dyDescent="0.3">
      <c r="A970" s="1" t="s">
        <v>1311</v>
      </c>
      <c r="B970" s="2" t="str">
        <f>HYPERLINK("https://my.zakupki.prom.ua/remote/dispatcher/state_purchase_view/34679892")</f>
        <v>https://my.zakupki.prom.ua/remote/dispatcher/state_purchase_view/34679892</v>
      </c>
      <c r="C970" s="1" t="s">
        <v>3022</v>
      </c>
      <c r="D970" s="1" t="s">
        <v>208</v>
      </c>
      <c r="E970" s="4">
        <v>5000</v>
      </c>
      <c r="F970" s="5">
        <v>18.760000000000002</v>
      </c>
      <c r="G970" s="1" t="s">
        <v>4883</v>
      </c>
      <c r="H970" s="1" t="s">
        <v>731</v>
      </c>
      <c r="I970" s="1" t="s">
        <v>3971</v>
      </c>
      <c r="J970" s="5">
        <v>93800</v>
      </c>
      <c r="K970" s="1" t="s">
        <v>3394</v>
      </c>
      <c r="L970" s="5">
        <v>469</v>
      </c>
      <c r="M970" s="1" t="s">
        <v>2308</v>
      </c>
      <c r="N970" s="1" t="s">
        <v>3983</v>
      </c>
      <c r="O970" s="1" t="s">
        <v>2521</v>
      </c>
      <c r="P970" s="1" t="s">
        <v>3956</v>
      </c>
      <c r="Q970" s="1" t="s">
        <v>3970</v>
      </c>
      <c r="R970" s="1" t="s">
        <v>4319</v>
      </c>
      <c r="S970" s="1" t="s">
        <v>4937</v>
      </c>
      <c r="T970" s="6">
        <v>44593</v>
      </c>
      <c r="U970" s="6">
        <v>44596</v>
      </c>
      <c r="V970" s="7">
        <v>0</v>
      </c>
      <c r="W970" s="6">
        <v>44600</v>
      </c>
      <c r="X970" s="7">
        <v>0</v>
      </c>
      <c r="Y970" s="1" t="s">
        <v>4860</v>
      </c>
      <c r="Z970" s="5">
        <v>340</v>
      </c>
      <c r="AA970" s="1" t="s">
        <v>3403</v>
      </c>
      <c r="AB970" s="1"/>
      <c r="AC970" s="1"/>
      <c r="AD970" s="1"/>
      <c r="AE970" s="1" t="s">
        <v>3788</v>
      </c>
      <c r="AF970" s="1" t="s">
        <v>9</v>
      </c>
      <c r="AG970" s="4">
        <v>2</v>
      </c>
      <c r="AH970" s="1"/>
      <c r="AI970" s="6">
        <v>44926</v>
      </c>
    </row>
    <row r="971" spans="1:35" x14ac:dyDescent="0.3">
      <c r="A971" s="1" t="s">
        <v>1466</v>
      </c>
      <c r="B971" s="2" t="str">
        <f>HYPERLINK("https://my.zakupki.prom.ua/remote/dispatcher/state_purchase_view/34679889")</f>
        <v>https://my.zakupki.prom.ua/remote/dispatcher/state_purchase_view/34679889</v>
      </c>
      <c r="C971" s="1" t="s">
        <v>3223</v>
      </c>
      <c r="D971" s="1" t="s">
        <v>485</v>
      </c>
      <c r="E971" s="4">
        <v>12000</v>
      </c>
      <c r="F971" s="5">
        <v>44.5</v>
      </c>
      <c r="G971" s="1" t="s">
        <v>4883</v>
      </c>
      <c r="H971" s="1" t="s">
        <v>424</v>
      </c>
      <c r="I971" s="1" t="s">
        <v>3388</v>
      </c>
      <c r="J971" s="5">
        <v>534000</v>
      </c>
      <c r="K971" s="1" t="s">
        <v>3394</v>
      </c>
      <c r="L971" s="5">
        <v>5340</v>
      </c>
      <c r="M971" s="1" t="s">
        <v>2308</v>
      </c>
      <c r="N971" s="1" t="s">
        <v>3983</v>
      </c>
      <c r="O971" s="1" t="s">
        <v>514</v>
      </c>
      <c r="P971" s="1" t="s">
        <v>2515</v>
      </c>
      <c r="Q971" s="1" t="s">
        <v>4805</v>
      </c>
      <c r="R971" s="1" t="s">
        <v>4206</v>
      </c>
      <c r="S971" s="1" t="s">
        <v>4971</v>
      </c>
      <c r="T971" s="6">
        <v>44593</v>
      </c>
      <c r="U971" s="6">
        <v>44593</v>
      </c>
      <c r="V971" s="7">
        <v>0.46546296296296297</v>
      </c>
      <c r="W971" s="6">
        <v>44609</v>
      </c>
      <c r="X971" s="7">
        <v>0.5</v>
      </c>
      <c r="Y971" s="8">
        <v>44610.549166666664</v>
      </c>
      <c r="Z971" s="5">
        <v>510</v>
      </c>
      <c r="AA971" s="1" t="s">
        <v>3403</v>
      </c>
      <c r="AB971" s="1"/>
      <c r="AC971" s="1"/>
      <c r="AD971" s="1"/>
      <c r="AE971" s="1" t="s">
        <v>3788</v>
      </c>
      <c r="AF971" s="1" t="s">
        <v>9</v>
      </c>
      <c r="AG971" s="4">
        <v>61</v>
      </c>
      <c r="AH971" s="1"/>
      <c r="AI971" s="6">
        <v>44893</v>
      </c>
    </row>
    <row r="972" spans="1:35" x14ac:dyDescent="0.3">
      <c r="A972" s="1" t="s">
        <v>1463</v>
      </c>
      <c r="B972" s="2" t="str">
        <f>HYPERLINK("https://my.zakupki.prom.ua/remote/dispatcher/state_purchase_view/34679882")</f>
        <v>https://my.zakupki.prom.ua/remote/dispatcher/state_purchase_view/34679882</v>
      </c>
      <c r="C972" s="1" t="s">
        <v>3342</v>
      </c>
      <c r="D972" s="1" t="s">
        <v>480</v>
      </c>
      <c r="E972" s="4">
        <v>4090</v>
      </c>
      <c r="F972" s="5">
        <v>48.88</v>
      </c>
      <c r="G972" s="1" t="s">
        <v>4902</v>
      </c>
      <c r="H972" s="1" t="s">
        <v>178</v>
      </c>
      <c r="I972" s="1" t="s">
        <v>4007</v>
      </c>
      <c r="J972" s="5">
        <v>199900</v>
      </c>
      <c r="K972" s="1" t="s">
        <v>3394</v>
      </c>
      <c r="L972" s="5">
        <v>1000</v>
      </c>
      <c r="M972" s="1" t="s">
        <v>2308</v>
      </c>
      <c r="N972" s="1" t="s">
        <v>3983</v>
      </c>
      <c r="O972" s="1" t="s">
        <v>2521</v>
      </c>
      <c r="P972" s="1" t="s">
        <v>3956</v>
      </c>
      <c r="Q972" s="1" t="s">
        <v>2528</v>
      </c>
      <c r="R972" s="1" t="s">
        <v>4112</v>
      </c>
      <c r="S972" s="1" t="s">
        <v>4937</v>
      </c>
      <c r="T972" s="6">
        <v>44593</v>
      </c>
      <c r="U972" s="6">
        <v>44599</v>
      </c>
      <c r="V972" s="7">
        <v>0</v>
      </c>
      <c r="W972" s="6">
        <v>44602</v>
      </c>
      <c r="X972" s="7">
        <v>0</v>
      </c>
      <c r="Y972" s="1" t="s">
        <v>4860</v>
      </c>
      <c r="Z972" s="5">
        <v>340</v>
      </c>
      <c r="AA972" s="1" t="s">
        <v>3403</v>
      </c>
      <c r="AB972" s="1"/>
      <c r="AC972" s="1"/>
      <c r="AD972" s="1"/>
      <c r="AE972" s="1" t="s">
        <v>3772</v>
      </c>
      <c r="AF972" s="1" t="s">
        <v>9</v>
      </c>
      <c r="AG972" s="4">
        <v>2</v>
      </c>
      <c r="AH972" s="1"/>
      <c r="AI972" s="6">
        <v>44926</v>
      </c>
    </row>
    <row r="973" spans="1:35" x14ac:dyDescent="0.3">
      <c r="A973" s="1" t="s">
        <v>1740</v>
      </c>
      <c r="B973" s="2" t="str">
        <f>HYPERLINK("https://my.zakupki.prom.ua/remote/dispatcher/state_purchase_view/34679870")</f>
        <v>https://my.zakupki.prom.ua/remote/dispatcher/state_purchase_view/34679870</v>
      </c>
      <c r="C973" s="1" t="s">
        <v>3665</v>
      </c>
      <c r="D973" s="1" t="s">
        <v>1258</v>
      </c>
      <c r="E973" s="4">
        <v>1</v>
      </c>
      <c r="F973" s="5">
        <v>56480</v>
      </c>
      <c r="G973" s="1" t="s">
        <v>4940</v>
      </c>
      <c r="H973" s="1" t="s">
        <v>1060</v>
      </c>
      <c r="I973" s="1" t="s">
        <v>2838</v>
      </c>
      <c r="J973" s="5">
        <v>56480</v>
      </c>
      <c r="K973" s="1" t="s">
        <v>3394</v>
      </c>
      <c r="L973" s="5">
        <v>282.39999999999998</v>
      </c>
      <c r="M973" s="1" t="s">
        <v>2308</v>
      </c>
      <c r="N973" s="1" t="s">
        <v>3983</v>
      </c>
      <c r="O973" s="1" t="s">
        <v>2521</v>
      </c>
      <c r="P973" s="1" t="s">
        <v>3956</v>
      </c>
      <c r="Q973" s="1" t="s">
        <v>2820</v>
      </c>
      <c r="R973" s="1" t="s">
        <v>4185</v>
      </c>
      <c r="S973" s="1" t="s">
        <v>4937</v>
      </c>
      <c r="T973" s="6">
        <v>44593</v>
      </c>
      <c r="U973" s="6">
        <v>44598</v>
      </c>
      <c r="V973" s="7">
        <v>0</v>
      </c>
      <c r="W973" s="6">
        <v>44601</v>
      </c>
      <c r="X973" s="7">
        <v>0</v>
      </c>
      <c r="Y973" s="1" t="s">
        <v>4860</v>
      </c>
      <c r="Z973" s="5">
        <v>340</v>
      </c>
      <c r="AA973" s="1" t="s">
        <v>3403</v>
      </c>
      <c r="AB973" s="1"/>
      <c r="AC973" s="1"/>
      <c r="AD973" s="1"/>
      <c r="AE973" s="1" t="s">
        <v>3736</v>
      </c>
      <c r="AF973" s="1" t="s">
        <v>9</v>
      </c>
      <c r="AG973" s="1" t="s">
        <v>9</v>
      </c>
      <c r="AH973" s="1"/>
      <c r="AI973" s="6">
        <v>44926</v>
      </c>
    </row>
    <row r="974" spans="1:35" x14ac:dyDescent="0.3">
      <c r="A974" s="1" t="s">
        <v>1752</v>
      </c>
      <c r="B974" s="2" t="str">
        <f>HYPERLINK("https://my.zakupki.prom.ua/remote/dispatcher/state_purchase_view/34679866")</f>
        <v>https://my.zakupki.prom.ua/remote/dispatcher/state_purchase_view/34679866</v>
      </c>
      <c r="C974" s="1" t="s">
        <v>3522</v>
      </c>
      <c r="D974" s="1" t="s">
        <v>1294</v>
      </c>
      <c r="E974" s="4">
        <v>1</v>
      </c>
      <c r="F974" s="5">
        <v>197000</v>
      </c>
      <c r="G974" s="1" t="s">
        <v>4940</v>
      </c>
      <c r="H974" s="1" t="s">
        <v>285</v>
      </c>
      <c r="I974" s="1" t="s">
        <v>2490</v>
      </c>
      <c r="J974" s="5">
        <v>197000</v>
      </c>
      <c r="K974" s="1" t="s">
        <v>3394</v>
      </c>
      <c r="L974" s="5">
        <v>985</v>
      </c>
      <c r="M974" s="1" t="s">
        <v>2308</v>
      </c>
      <c r="N974" s="1" t="s">
        <v>3983</v>
      </c>
      <c r="O974" s="1" t="s">
        <v>2521</v>
      </c>
      <c r="P974" s="1" t="s">
        <v>3956</v>
      </c>
      <c r="Q974" s="1" t="s">
        <v>3970</v>
      </c>
      <c r="R974" s="1" t="s">
        <v>4641</v>
      </c>
      <c r="S974" s="1" t="s">
        <v>4937</v>
      </c>
      <c r="T974" s="6">
        <v>44593</v>
      </c>
      <c r="U974" s="6">
        <v>44601</v>
      </c>
      <c r="V974" s="7">
        <v>0</v>
      </c>
      <c r="W974" s="6">
        <v>44603</v>
      </c>
      <c r="X974" s="7">
        <v>0.46729166666666666</v>
      </c>
      <c r="Y974" s="1" t="s">
        <v>4860</v>
      </c>
      <c r="Z974" s="5">
        <v>340</v>
      </c>
      <c r="AA974" s="1" t="s">
        <v>3403</v>
      </c>
      <c r="AB974" s="1"/>
      <c r="AC974" s="1"/>
      <c r="AD974" s="1"/>
      <c r="AE974" s="1" t="s">
        <v>3749</v>
      </c>
      <c r="AF974" s="1" t="s">
        <v>9</v>
      </c>
      <c r="AG974" s="4">
        <v>5</v>
      </c>
      <c r="AH974" s="1"/>
      <c r="AI974" s="6">
        <v>44926</v>
      </c>
    </row>
    <row r="975" spans="1:35" x14ac:dyDescent="0.3">
      <c r="A975" s="1" t="s">
        <v>1757</v>
      </c>
      <c r="B975" s="2" t="str">
        <f>HYPERLINK("https://my.zakupki.prom.ua/remote/dispatcher/state_purchase_view/34679862")</f>
        <v>https://my.zakupki.prom.ua/remote/dispatcher/state_purchase_view/34679862</v>
      </c>
      <c r="C975" s="1" t="s">
        <v>3049</v>
      </c>
      <c r="D975" s="1" t="s">
        <v>1132</v>
      </c>
      <c r="E975" s="4">
        <v>1</v>
      </c>
      <c r="F975" s="5">
        <v>2987040.42</v>
      </c>
      <c r="G975" s="1" t="s">
        <v>4975</v>
      </c>
      <c r="H975" s="1" t="s">
        <v>16</v>
      </c>
      <c r="I975" s="1" t="s">
        <v>3472</v>
      </c>
      <c r="J975" s="5">
        <v>2987040.42</v>
      </c>
      <c r="K975" s="1" t="s">
        <v>3394</v>
      </c>
      <c r="L975" s="5">
        <v>14935.2</v>
      </c>
      <c r="M975" s="1" t="s">
        <v>2308</v>
      </c>
      <c r="N975" s="1" t="s">
        <v>3983</v>
      </c>
      <c r="O975" s="1" t="s">
        <v>414</v>
      </c>
      <c r="P975" s="1" t="s">
        <v>3956</v>
      </c>
      <c r="Q975" s="1" t="s">
        <v>2820</v>
      </c>
      <c r="R975" s="1" t="s">
        <v>4109</v>
      </c>
      <c r="S975" s="1" t="s">
        <v>4937</v>
      </c>
      <c r="T975" s="6">
        <v>44593</v>
      </c>
      <c r="U975" s="6">
        <v>44613</v>
      </c>
      <c r="V975" s="7">
        <v>0.41666666666666669</v>
      </c>
      <c r="W975" s="6">
        <v>44622</v>
      </c>
      <c r="X975" s="7">
        <v>0.58333333333333337</v>
      </c>
      <c r="Y975" s="1" t="s">
        <v>4860</v>
      </c>
      <c r="Z975" s="5">
        <v>1700</v>
      </c>
      <c r="AA975" s="1" t="s">
        <v>3403</v>
      </c>
      <c r="AB975" s="1"/>
      <c r="AC975" s="1"/>
      <c r="AD975" s="1"/>
      <c r="AE975" s="1" t="s">
        <v>2368</v>
      </c>
      <c r="AF975" s="1" t="s">
        <v>9</v>
      </c>
      <c r="AG975" s="4">
        <v>40</v>
      </c>
      <c r="AH975" s="1"/>
      <c r="AI975" s="6">
        <v>44895</v>
      </c>
    </row>
    <row r="976" spans="1:35" x14ac:dyDescent="0.3">
      <c r="A976" s="1" t="s">
        <v>1732</v>
      </c>
      <c r="B976" s="2" t="str">
        <f>HYPERLINK("https://my.zakupki.prom.ua/remote/dispatcher/state_purchase_view/34679859")</f>
        <v>https://my.zakupki.prom.ua/remote/dispatcher/state_purchase_view/34679859</v>
      </c>
      <c r="C976" s="1" t="s">
        <v>3246</v>
      </c>
      <c r="D976" s="1" t="s">
        <v>801</v>
      </c>
      <c r="E976" s="1" t="s">
        <v>4903</v>
      </c>
      <c r="F976" s="1" t="s">
        <v>4903</v>
      </c>
      <c r="G976" s="1" t="s">
        <v>4903</v>
      </c>
      <c r="H976" s="1" t="s">
        <v>97</v>
      </c>
      <c r="I976" s="1" t="s">
        <v>2986</v>
      </c>
      <c r="J976" s="5">
        <v>1264754</v>
      </c>
      <c r="K976" s="1" t="s">
        <v>3394</v>
      </c>
      <c r="L976" s="5">
        <v>6323.77</v>
      </c>
      <c r="M976" s="1" t="s">
        <v>2308</v>
      </c>
      <c r="N976" s="1" t="s">
        <v>3983</v>
      </c>
      <c r="O976" s="1" t="s">
        <v>2521</v>
      </c>
      <c r="P976" s="1" t="s">
        <v>2515</v>
      </c>
      <c r="Q976" s="1" t="s">
        <v>3504</v>
      </c>
      <c r="R976" s="1" t="s">
        <v>4231</v>
      </c>
      <c r="S976" s="1" t="s">
        <v>4971</v>
      </c>
      <c r="T976" s="6">
        <v>44593</v>
      </c>
      <c r="U976" s="6">
        <v>44593</v>
      </c>
      <c r="V976" s="7">
        <v>0.46120883123842593</v>
      </c>
      <c r="W976" s="6">
        <v>44609</v>
      </c>
      <c r="X976" s="7">
        <v>0.4646527777777778</v>
      </c>
      <c r="Y976" s="8">
        <v>44610.632893518516</v>
      </c>
      <c r="Z976" s="5">
        <v>1700</v>
      </c>
      <c r="AA976" s="1" t="s">
        <v>3403</v>
      </c>
      <c r="AB976" s="1"/>
      <c r="AC976" s="1"/>
      <c r="AD976" s="1"/>
      <c r="AE976" s="1" t="s">
        <v>3782</v>
      </c>
      <c r="AF976" s="1" t="s">
        <v>9</v>
      </c>
      <c r="AG976" s="4">
        <v>1</v>
      </c>
      <c r="AH976" s="1"/>
      <c r="AI976" s="6">
        <v>44926</v>
      </c>
    </row>
    <row r="977" spans="1:35" x14ac:dyDescent="0.3">
      <c r="A977" s="1" t="s">
        <v>1766</v>
      </c>
      <c r="B977" s="2" t="str">
        <f>HYPERLINK("https://my.zakupki.prom.ua/remote/dispatcher/state_purchase_view/34679850")</f>
        <v>https://my.zakupki.prom.ua/remote/dispatcher/state_purchase_view/34679850</v>
      </c>
      <c r="C977" s="1" t="s">
        <v>3336</v>
      </c>
      <c r="D977" s="1" t="s">
        <v>471</v>
      </c>
      <c r="E977" s="1" t="s">
        <v>4903</v>
      </c>
      <c r="F977" s="1" t="s">
        <v>4903</v>
      </c>
      <c r="G977" s="1" t="s">
        <v>4903</v>
      </c>
      <c r="H977" s="1" t="s">
        <v>190</v>
      </c>
      <c r="I977" s="1" t="s">
        <v>2861</v>
      </c>
      <c r="J977" s="5">
        <v>542393</v>
      </c>
      <c r="K977" s="1" t="s">
        <v>3394</v>
      </c>
      <c r="L977" s="5">
        <v>5423</v>
      </c>
      <c r="M977" s="1" t="s">
        <v>2308</v>
      </c>
      <c r="N977" s="1" t="s">
        <v>3983</v>
      </c>
      <c r="O977" s="1" t="s">
        <v>1186</v>
      </c>
      <c r="P977" s="1" t="s">
        <v>2515</v>
      </c>
      <c r="Q977" s="1" t="s">
        <v>4794</v>
      </c>
      <c r="R977" s="1" t="s">
        <v>4632</v>
      </c>
      <c r="S977" s="1" t="s">
        <v>4971</v>
      </c>
      <c r="T977" s="6">
        <v>44593</v>
      </c>
      <c r="U977" s="6">
        <v>44593</v>
      </c>
      <c r="V977" s="7">
        <v>0.46789351851851851</v>
      </c>
      <c r="W977" s="6">
        <v>44609</v>
      </c>
      <c r="X977" s="7">
        <v>0</v>
      </c>
      <c r="Y977" s="8">
        <v>44609.459467592591</v>
      </c>
      <c r="Z977" s="5">
        <v>510</v>
      </c>
      <c r="AA977" s="1" t="s">
        <v>3403</v>
      </c>
      <c r="AB977" s="1"/>
      <c r="AC977" s="1"/>
      <c r="AD977" s="1"/>
      <c r="AE977" s="1" t="s">
        <v>3774</v>
      </c>
      <c r="AF977" s="1" t="s">
        <v>9</v>
      </c>
      <c r="AG977" s="1" t="s">
        <v>9</v>
      </c>
      <c r="AH977" s="1"/>
      <c r="AI977" s="6">
        <v>44926</v>
      </c>
    </row>
    <row r="978" spans="1:35" x14ac:dyDescent="0.3">
      <c r="A978" s="1" t="s">
        <v>1330</v>
      </c>
      <c r="B978" s="2" t="str">
        <f>HYPERLINK("https://my.zakupki.prom.ua/remote/dispatcher/state_purchase_view/34679843")</f>
        <v>https://my.zakupki.prom.ua/remote/dispatcher/state_purchase_view/34679843</v>
      </c>
      <c r="C978" s="1" t="s">
        <v>4000</v>
      </c>
      <c r="D978" s="1" t="s">
        <v>1155</v>
      </c>
      <c r="E978" s="4">
        <v>1</v>
      </c>
      <c r="F978" s="5">
        <v>23100</v>
      </c>
      <c r="G978" s="1" t="s">
        <v>4939</v>
      </c>
      <c r="H978" s="1" t="s">
        <v>938</v>
      </c>
      <c r="I978" s="1" t="s">
        <v>3094</v>
      </c>
      <c r="J978" s="5">
        <v>23100</v>
      </c>
      <c r="K978" s="1" t="s">
        <v>3394</v>
      </c>
      <c r="L978" s="5">
        <v>120</v>
      </c>
      <c r="M978" s="1" t="s">
        <v>2308</v>
      </c>
      <c r="N978" s="1" t="s">
        <v>3983</v>
      </c>
      <c r="O978" s="1" t="s">
        <v>2521</v>
      </c>
      <c r="P978" s="1" t="s">
        <v>3956</v>
      </c>
      <c r="Q978" s="1" t="s">
        <v>4794</v>
      </c>
      <c r="R978" s="1" t="s">
        <v>4081</v>
      </c>
      <c r="S978" s="1" t="s">
        <v>4937</v>
      </c>
      <c r="T978" s="6">
        <v>44593</v>
      </c>
      <c r="U978" s="6">
        <v>44599</v>
      </c>
      <c r="V978" s="7">
        <v>0</v>
      </c>
      <c r="W978" s="6">
        <v>44603</v>
      </c>
      <c r="X978" s="7">
        <v>0</v>
      </c>
      <c r="Y978" s="1" t="s">
        <v>4860</v>
      </c>
      <c r="Z978" s="5">
        <v>119</v>
      </c>
      <c r="AA978" s="1" t="s">
        <v>3403</v>
      </c>
      <c r="AB978" s="1"/>
      <c r="AC978" s="1"/>
      <c r="AD978" s="1"/>
      <c r="AE978" s="1" t="s">
        <v>3727</v>
      </c>
      <c r="AF978" s="1" t="s">
        <v>9</v>
      </c>
      <c r="AG978" s="4">
        <v>9</v>
      </c>
      <c r="AH978" s="1"/>
      <c r="AI978" s="6">
        <v>44926</v>
      </c>
    </row>
    <row r="979" spans="1:35" x14ac:dyDescent="0.3">
      <c r="A979" s="1" t="s">
        <v>1474</v>
      </c>
      <c r="B979" s="2" t="str">
        <f>HYPERLINK("https://my.zakupki.prom.ua/remote/dispatcher/state_purchase_view/34679842")</f>
        <v>https://my.zakupki.prom.ua/remote/dispatcher/state_purchase_view/34679842</v>
      </c>
      <c r="C979" s="1" t="s">
        <v>3040</v>
      </c>
      <c r="D979" s="1" t="s">
        <v>847</v>
      </c>
      <c r="E979" s="4">
        <v>65</v>
      </c>
      <c r="F979" s="5">
        <v>43200</v>
      </c>
      <c r="G979" s="1" t="s">
        <v>4981</v>
      </c>
      <c r="H979" s="1" t="s">
        <v>972</v>
      </c>
      <c r="I979" s="1" t="s">
        <v>4759</v>
      </c>
      <c r="J979" s="5">
        <v>2808000</v>
      </c>
      <c r="K979" s="1" t="s">
        <v>3394</v>
      </c>
      <c r="L979" s="5">
        <v>14040</v>
      </c>
      <c r="M979" s="1" t="s">
        <v>2308</v>
      </c>
      <c r="N979" s="1" t="s">
        <v>3983</v>
      </c>
      <c r="O979" s="1" t="s">
        <v>689</v>
      </c>
      <c r="P979" s="1" t="s">
        <v>2516</v>
      </c>
      <c r="Q979" s="1" t="s">
        <v>3035</v>
      </c>
      <c r="R979" s="1" t="s">
        <v>4081</v>
      </c>
      <c r="S979" s="1" t="s">
        <v>4971</v>
      </c>
      <c r="T979" s="6">
        <v>44593</v>
      </c>
      <c r="U979" s="6">
        <v>44593</v>
      </c>
      <c r="V979" s="7">
        <v>0.46711805555555558</v>
      </c>
      <c r="W979" s="6">
        <v>44624</v>
      </c>
      <c r="X979" s="7">
        <v>0.41666666666666669</v>
      </c>
      <c r="Y979" s="8">
        <v>44662.487349537034</v>
      </c>
      <c r="Z979" s="5">
        <v>1700</v>
      </c>
      <c r="AA979" s="1" t="s">
        <v>3403</v>
      </c>
      <c r="AB979" s="1"/>
      <c r="AC979" s="1"/>
      <c r="AD979" s="1"/>
      <c r="AE979" s="1" t="s">
        <v>3793</v>
      </c>
      <c r="AF979" s="1" t="s">
        <v>9</v>
      </c>
      <c r="AG979" s="4">
        <v>1638</v>
      </c>
      <c r="AH979" s="1"/>
      <c r="AI979" s="6">
        <v>44926</v>
      </c>
    </row>
    <row r="980" spans="1:35" x14ac:dyDescent="0.3">
      <c r="A980" s="1" t="s">
        <v>1769</v>
      </c>
      <c r="B980" s="2" t="str">
        <f>HYPERLINK("https://my.zakupki.prom.ua/remote/dispatcher/state_purchase_view/34679838")</f>
        <v>https://my.zakupki.prom.ua/remote/dispatcher/state_purchase_view/34679838</v>
      </c>
      <c r="C980" s="1" t="s">
        <v>3851</v>
      </c>
      <c r="D980" s="1" t="s">
        <v>453</v>
      </c>
      <c r="E980" s="1" t="s">
        <v>4903</v>
      </c>
      <c r="F980" s="1" t="s">
        <v>4903</v>
      </c>
      <c r="G980" s="1" t="s">
        <v>4903</v>
      </c>
      <c r="H980" s="1" t="s">
        <v>190</v>
      </c>
      <c r="I980" s="1" t="s">
        <v>2861</v>
      </c>
      <c r="J980" s="5">
        <v>534537.4</v>
      </c>
      <c r="K980" s="1" t="s">
        <v>3394</v>
      </c>
      <c r="L980" s="5">
        <v>5345</v>
      </c>
      <c r="M980" s="1" t="s">
        <v>2308</v>
      </c>
      <c r="N980" s="1" t="s">
        <v>3983</v>
      </c>
      <c r="O980" s="1" t="s">
        <v>1185</v>
      </c>
      <c r="P980" s="1" t="s">
        <v>2515</v>
      </c>
      <c r="Q980" s="1" t="s">
        <v>4794</v>
      </c>
      <c r="R980" s="1" t="s">
        <v>4632</v>
      </c>
      <c r="S980" s="1" t="s">
        <v>4971</v>
      </c>
      <c r="T980" s="6">
        <v>44593</v>
      </c>
      <c r="U980" s="6">
        <v>44593</v>
      </c>
      <c r="V980" s="7">
        <v>0.4685300925925926</v>
      </c>
      <c r="W980" s="6">
        <v>44609</v>
      </c>
      <c r="X980" s="7">
        <v>0</v>
      </c>
      <c r="Y980" s="8">
        <v>44609.506226851852</v>
      </c>
      <c r="Z980" s="5">
        <v>510</v>
      </c>
      <c r="AA980" s="1" t="s">
        <v>3403</v>
      </c>
      <c r="AB980" s="1"/>
      <c r="AC980" s="1"/>
      <c r="AD980" s="1"/>
      <c r="AE980" s="1" t="s">
        <v>3774</v>
      </c>
      <c r="AF980" s="1" t="s">
        <v>9</v>
      </c>
      <c r="AG980" s="1" t="s">
        <v>9</v>
      </c>
      <c r="AH980" s="1"/>
      <c r="AI980" s="6">
        <v>44926</v>
      </c>
    </row>
    <row r="981" spans="1:35" x14ac:dyDescent="0.3">
      <c r="A981" s="1" t="s">
        <v>1331</v>
      </c>
      <c r="B981" s="2" t="str">
        <f>HYPERLINK("https://my.zakupki.prom.ua/remote/dispatcher/state_purchase_view/34679824")</f>
        <v>https://my.zakupki.prom.ua/remote/dispatcher/state_purchase_view/34679824</v>
      </c>
      <c r="C981" s="1" t="s">
        <v>3820</v>
      </c>
      <c r="D981" s="1" t="s">
        <v>415</v>
      </c>
      <c r="E981" s="4">
        <v>2000</v>
      </c>
      <c r="F981" s="5">
        <v>140</v>
      </c>
      <c r="G981" s="1" t="s">
        <v>4981</v>
      </c>
      <c r="H981" s="1" t="s">
        <v>270</v>
      </c>
      <c r="I981" s="1" t="s">
        <v>2692</v>
      </c>
      <c r="J981" s="5">
        <v>280000</v>
      </c>
      <c r="K981" s="1" t="s">
        <v>3394</v>
      </c>
      <c r="L981" s="5">
        <v>1400</v>
      </c>
      <c r="M981" s="1" t="s">
        <v>2308</v>
      </c>
      <c r="N981" s="1" t="s">
        <v>3983</v>
      </c>
      <c r="O981" s="1" t="s">
        <v>2521</v>
      </c>
      <c r="P981" s="1" t="s">
        <v>2762</v>
      </c>
      <c r="Q981" s="1" t="s">
        <v>3035</v>
      </c>
      <c r="R981" s="1" t="s">
        <v>4081</v>
      </c>
      <c r="S981" s="1" t="s">
        <v>4937</v>
      </c>
      <c r="T981" s="6">
        <v>44593</v>
      </c>
      <c r="U981" s="6">
        <v>44597</v>
      </c>
      <c r="V981" s="7">
        <v>0</v>
      </c>
      <c r="W981" s="6">
        <v>44601</v>
      </c>
      <c r="X981" s="7">
        <v>0</v>
      </c>
      <c r="Y981" s="1" t="s">
        <v>4860</v>
      </c>
      <c r="Z981" s="5">
        <v>510</v>
      </c>
      <c r="AA981" s="1" t="s">
        <v>3403</v>
      </c>
      <c r="AB981" s="1"/>
      <c r="AC981" s="1"/>
      <c r="AD981" s="1"/>
      <c r="AE981" s="1" t="s">
        <v>3806</v>
      </c>
      <c r="AF981" s="1" t="s">
        <v>9</v>
      </c>
      <c r="AG981" s="4">
        <v>2</v>
      </c>
      <c r="AH981" s="6">
        <v>44606</v>
      </c>
      <c r="AI981" s="6">
        <v>44651</v>
      </c>
    </row>
    <row r="982" spans="1:35" x14ac:dyDescent="0.3">
      <c r="A982" s="1" t="s">
        <v>1329</v>
      </c>
      <c r="B982" s="2" t="str">
        <f>HYPERLINK("https://my.zakupki.prom.ua/remote/dispatcher/state_purchase_view/34679820")</f>
        <v>https://my.zakupki.prom.ua/remote/dispatcher/state_purchase_view/34679820</v>
      </c>
      <c r="C982" s="1" t="s">
        <v>3648</v>
      </c>
      <c r="D982" s="1" t="s">
        <v>1302</v>
      </c>
      <c r="E982" s="4">
        <v>6578</v>
      </c>
      <c r="F982" s="5">
        <v>25</v>
      </c>
      <c r="G982" s="1" t="s">
        <v>4883</v>
      </c>
      <c r="H982" s="1" t="s">
        <v>356</v>
      </c>
      <c r="I982" s="1" t="s">
        <v>4871</v>
      </c>
      <c r="J982" s="5">
        <v>164454</v>
      </c>
      <c r="K982" s="1" t="s">
        <v>3394</v>
      </c>
      <c r="L982" s="5">
        <v>822.27</v>
      </c>
      <c r="M982" s="1" t="s">
        <v>2308</v>
      </c>
      <c r="N982" s="1" t="s">
        <v>3983</v>
      </c>
      <c r="O982" s="1" t="s">
        <v>2521</v>
      </c>
      <c r="P982" s="1" t="s">
        <v>3956</v>
      </c>
      <c r="Q982" s="1" t="s">
        <v>3992</v>
      </c>
      <c r="R982" s="1" t="s">
        <v>4175</v>
      </c>
      <c r="S982" s="1" t="s">
        <v>4937</v>
      </c>
      <c r="T982" s="6">
        <v>44593</v>
      </c>
      <c r="U982" s="6">
        <v>44599</v>
      </c>
      <c r="V982" s="7">
        <v>0.46744212962962961</v>
      </c>
      <c r="W982" s="6">
        <v>44602</v>
      </c>
      <c r="X982" s="7">
        <v>0.46744212962962961</v>
      </c>
      <c r="Y982" s="1" t="s">
        <v>4860</v>
      </c>
      <c r="Z982" s="5">
        <v>340</v>
      </c>
      <c r="AA982" s="1" t="s">
        <v>3403</v>
      </c>
      <c r="AB982" s="1"/>
      <c r="AC982" s="1"/>
      <c r="AD982" s="1"/>
      <c r="AE982" s="1" t="s">
        <v>3727</v>
      </c>
      <c r="AF982" s="1" t="s">
        <v>9</v>
      </c>
      <c r="AG982" s="4">
        <v>2</v>
      </c>
      <c r="AH982" s="1"/>
      <c r="AI982" s="6">
        <v>44926</v>
      </c>
    </row>
    <row r="983" spans="1:35" x14ac:dyDescent="0.3">
      <c r="A983" s="1" t="s">
        <v>1457</v>
      </c>
      <c r="B983" s="2" t="str">
        <f>HYPERLINK("https://my.zakupki.prom.ua/remote/dispatcher/state_purchase_view/34679816")</f>
        <v>https://my.zakupki.prom.ua/remote/dispatcher/state_purchase_view/34679816</v>
      </c>
      <c r="C983" s="1" t="s">
        <v>3356</v>
      </c>
      <c r="D983" s="1" t="s">
        <v>445</v>
      </c>
      <c r="E983" s="1" t="s">
        <v>4903</v>
      </c>
      <c r="F983" s="1" t="s">
        <v>4903</v>
      </c>
      <c r="G983" s="1" t="s">
        <v>4903</v>
      </c>
      <c r="H983" s="1" t="s">
        <v>336</v>
      </c>
      <c r="I983" s="1" t="s">
        <v>3100</v>
      </c>
      <c r="J983" s="5">
        <v>852500</v>
      </c>
      <c r="K983" s="1" t="s">
        <v>3394</v>
      </c>
      <c r="L983" s="5">
        <v>4262.5</v>
      </c>
      <c r="M983" s="1" t="s">
        <v>2308</v>
      </c>
      <c r="N983" s="1" t="s">
        <v>3983</v>
      </c>
      <c r="O983" s="1" t="s">
        <v>2521</v>
      </c>
      <c r="P983" s="1" t="s">
        <v>2515</v>
      </c>
      <c r="Q983" s="1" t="s">
        <v>2528</v>
      </c>
      <c r="R983" s="1" t="s">
        <v>4222</v>
      </c>
      <c r="S983" s="1" t="s">
        <v>4971</v>
      </c>
      <c r="T983" s="6">
        <v>44593</v>
      </c>
      <c r="U983" s="6">
        <v>44593</v>
      </c>
      <c r="V983" s="7">
        <v>0.46190856842592593</v>
      </c>
      <c r="W983" s="6">
        <v>44610</v>
      </c>
      <c r="X983" s="7">
        <v>0.46535879629629628</v>
      </c>
      <c r="Y983" s="8">
        <v>44613.464166666665</v>
      </c>
      <c r="Z983" s="5">
        <v>510</v>
      </c>
      <c r="AA983" s="1" t="s">
        <v>3403</v>
      </c>
      <c r="AB983" s="1"/>
      <c r="AC983" s="1"/>
      <c r="AD983" s="1"/>
      <c r="AE983" s="1" t="s">
        <v>3768</v>
      </c>
      <c r="AF983" s="1" t="s">
        <v>9</v>
      </c>
      <c r="AG983" s="4">
        <v>5</v>
      </c>
      <c r="AH983" s="1"/>
      <c r="AI983" s="6">
        <v>44926</v>
      </c>
    </row>
    <row r="984" spans="1:35" x14ac:dyDescent="0.3">
      <c r="A984" s="1" t="s">
        <v>1469</v>
      </c>
      <c r="B984" s="2" t="str">
        <f>HYPERLINK("https://my.zakupki.prom.ua/remote/dispatcher/state_purchase_view/34679811")</f>
        <v>https://my.zakupki.prom.ua/remote/dispatcher/state_purchase_view/34679811</v>
      </c>
      <c r="C984" s="1" t="s">
        <v>1231</v>
      </c>
      <c r="D984" s="1" t="s">
        <v>1231</v>
      </c>
      <c r="E984" s="4">
        <v>12</v>
      </c>
      <c r="F984" s="5">
        <v>375</v>
      </c>
      <c r="G984" s="1" t="s">
        <v>4940</v>
      </c>
      <c r="H984" s="1" t="s">
        <v>935</v>
      </c>
      <c r="I984" s="1" t="s">
        <v>2798</v>
      </c>
      <c r="J984" s="5">
        <v>4500</v>
      </c>
      <c r="K984" s="1" t="s">
        <v>3394</v>
      </c>
      <c r="L984" s="5">
        <v>45</v>
      </c>
      <c r="M984" s="1" t="s">
        <v>2308</v>
      </c>
      <c r="N984" s="1" t="s">
        <v>3983</v>
      </c>
      <c r="O984" s="1" t="s">
        <v>2521</v>
      </c>
      <c r="P984" s="1" t="s">
        <v>3956</v>
      </c>
      <c r="Q984" s="1" t="s">
        <v>2528</v>
      </c>
      <c r="R984" s="1" t="s">
        <v>4268</v>
      </c>
      <c r="S984" s="1" t="s">
        <v>4937</v>
      </c>
      <c r="T984" s="6">
        <v>44593</v>
      </c>
      <c r="U984" s="6">
        <v>44599</v>
      </c>
      <c r="V984" s="7">
        <v>0</v>
      </c>
      <c r="W984" s="6">
        <v>44602</v>
      </c>
      <c r="X984" s="7">
        <v>0</v>
      </c>
      <c r="Y984" s="1" t="s">
        <v>4860</v>
      </c>
      <c r="Z984" s="5">
        <v>17</v>
      </c>
      <c r="AA984" s="1" t="s">
        <v>3403</v>
      </c>
      <c r="AB984" s="1"/>
      <c r="AC984" s="1"/>
      <c r="AD984" s="1"/>
      <c r="AE984" s="1" t="s">
        <v>3751</v>
      </c>
      <c r="AF984" s="1" t="s">
        <v>9</v>
      </c>
      <c r="AG984" s="1" t="s">
        <v>9</v>
      </c>
      <c r="AH984" s="1"/>
      <c r="AI984" s="6">
        <v>44926</v>
      </c>
    </row>
    <row r="985" spans="1:35" x14ac:dyDescent="0.3">
      <c r="A985" s="1" t="s">
        <v>1761</v>
      </c>
      <c r="B985" s="2" t="str">
        <f>HYPERLINK("https://my.zakupki.prom.ua/remote/dispatcher/state_purchase_view/34679810")</f>
        <v>https://my.zakupki.prom.ua/remote/dispatcher/state_purchase_view/34679810</v>
      </c>
      <c r="C985" s="1" t="s">
        <v>3304</v>
      </c>
      <c r="D985" s="1" t="s">
        <v>698</v>
      </c>
      <c r="E985" s="1" t="s">
        <v>4903</v>
      </c>
      <c r="F985" s="1" t="s">
        <v>4903</v>
      </c>
      <c r="G985" s="1" t="s">
        <v>4903</v>
      </c>
      <c r="H985" s="1" t="s">
        <v>400</v>
      </c>
      <c r="I985" s="1" t="s">
        <v>2578</v>
      </c>
      <c r="J985" s="5">
        <v>45005.83</v>
      </c>
      <c r="K985" s="1" t="s">
        <v>3394</v>
      </c>
      <c r="L985" s="5">
        <v>450.06</v>
      </c>
      <c r="M985" s="1" t="s">
        <v>2308</v>
      </c>
      <c r="N985" s="1" t="s">
        <v>3403</v>
      </c>
      <c r="O985" s="1" t="s">
        <v>2521</v>
      </c>
      <c r="P985" s="1" t="s">
        <v>2762</v>
      </c>
      <c r="Q985" s="1" t="s">
        <v>3970</v>
      </c>
      <c r="R985" s="1" t="s">
        <v>4081</v>
      </c>
      <c r="S985" s="1" t="s">
        <v>4937</v>
      </c>
      <c r="T985" s="6">
        <v>44593</v>
      </c>
      <c r="U985" s="6">
        <v>44599</v>
      </c>
      <c r="V985" s="7">
        <v>0.58333333333333337</v>
      </c>
      <c r="W985" s="6">
        <v>44602</v>
      </c>
      <c r="X985" s="7">
        <v>0.58333333333333337</v>
      </c>
      <c r="Y985" s="1" t="s">
        <v>4860</v>
      </c>
      <c r="Z985" s="5">
        <v>119</v>
      </c>
      <c r="AA985" s="1" t="s">
        <v>3403</v>
      </c>
      <c r="AB985" s="1"/>
      <c r="AC985" s="1"/>
      <c r="AD985" s="1"/>
      <c r="AE985" s="1" t="s">
        <v>3815</v>
      </c>
      <c r="AF985" s="1" t="s">
        <v>9</v>
      </c>
      <c r="AG985" s="1" t="s">
        <v>9</v>
      </c>
      <c r="AH985" s="1"/>
      <c r="AI985" s="6">
        <v>44681</v>
      </c>
    </row>
    <row r="986" spans="1:35" x14ac:dyDescent="0.3">
      <c r="A986" s="1" t="s">
        <v>1477</v>
      </c>
      <c r="B986" s="2" t="str">
        <f>HYPERLINK("https://my.zakupki.prom.ua/remote/dispatcher/state_purchase_view/34679788")</f>
        <v>https://my.zakupki.prom.ua/remote/dispatcher/state_purchase_view/34679788</v>
      </c>
      <c r="C986" s="1" t="s">
        <v>790</v>
      </c>
      <c r="D986" s="1" t="s">
        <v>789</v>
      </c>
      <c r="E986" s="1" t="s">
        <v>4903</v>
      </c>
      <c r="F986" s="1" t="s">
        <v>4903</v>
      </c>
      <c r="G986" s="1" t="s">
        <v>4903</v>
      </c>
      <c r="H986" s="1" t="s">
        <v>673</v>
      </c>
      <c r="I986" s="1" t="s">
        <v>3164</v>
      </c>
      <c r="J986" s="5">
        <v>120000</v>
      </c>
      <c r="K986" s="1" t="s">
        <v>3394</v>
      </c>
      <c r="L986" s="5">
        <v>600</v>
      </c>
      <c r="M986" s="1" t="s">
        <v>2308</v>
      </c>
      <c r="N986" s="1" t="s">
        <v>3983</v>
      </c>
      <c r="O986" s="1" t="s">
        <v>2521</v>
      </c>
      <c r="P986" s="1" t="s">
        <v>3956</v>
      </c>
      <c r="Q986" s="1" t="s">
        <v>2528</v>
      </c>
      <c r="R986" s="1" t="s">
        <v>4565</v>
      </c>
      <c r="S986" s="1" t="s">
        <v>4937</v>
      </c>
      <c r="T986" s="6">
        <v>44593</v>
      </c>
      <c r="U986" s="6">
        <v>44600</v>
      </c>
      <c r="V986" s="7">
        <v>0.625</v>
      </c>
      <c r="W986" s="6">
        <v>44606</v>
      </c>
      <c r="X986" s="7">
        <v>0.625</v>
      </c>
      <c r="Y986" s="1" t="s">
        <v>4860</v>
      </c>
      <c r="Z986" s="5">
        <v>340</v>
      </c>
      <c r="AA986" s="1" t="s">
        <v>3403</v>
      </c>
      <c r="AB986" s="1"/>
      <c r="AC986" s="1"/>
      <c r="AD986" s="1"/>
      <c r="AE986" s="1" t="s">
        <v>3765</v>
      </c>
      <c r="AF986" s="1" t="s">
        <v>9</v>
      </c>
      <c r="AG986" s="1" t="s">
        <v>9</v>
      </c>
      <c r="AH986" s="1"/>
      <c r="AI986" s="6">
        <v>44926</v>
      </c>
    </row>
    <row r="987" spans="1:35" x14ac:dyDescent="0.3">
      <c r="A987" s="1" t="s">
        <v>1744</v>
      </c>
      <c r="B987" s="2" t="str">
        <f>HYPERLINK("https://my.zakupki.prom.ua/remote/dispatcher/state_purchase_view/34679786")</f>
        <v>https://my.zakupki.prom.ua/remote/dispatcher/state_purchase_view/34679786</v>
      </c>
      <c r="C987" s="1" t="s">
        <v>4848</v>
      </c>
      <c r="D987" s="1" t="s">
        <v>174</v>
      </c>
      <c r="E987" s="4">
        <v>100000</v>
      </c>
      <c r="F987" s="5">
        <v>3.3</v>
      </c>
      <c r="G987" s="1" t="s">
        <v>4989</v>
      </c>
      <c r="H987" s="1" t="s">
        <v>424</v>
      </c>
      <c r="I987" s="1" t="s">
        <v>3388</v>
      </c>
      <c r="J987" s="5">
        <v>330000</v>
      </c>
      <c r="K987" s="1" t="s">
        <v>3394</v>
      </c>
      <c r="L987" s="5">
        <v>3300</v>
      </c>
      <c r="M987" s="1" t="s">
        <v>2308</v>
      </c>
      <c r="N987" s="1" t="s">
        <v>3983</v>
      </c>
      <c r="O987" s="1" t="s">
        <v>2521</v>
      </c>
      <c r="P987" s="1" t="s">
        <v>2515</v>
      </c>
      <c r="Q987" s="1" t="s">
        <v>4805</v>
      </c>
      <c r="R987" s="1" t="s">
        <v>4206</v>
      </c>
      <c r="S987" s="1" t="s">
        <v>4971</v>
      </c>
      <c r="T987" s="6">
        <v>44593</v>
      </c>
      <c r="U987" s="6">
        <v>44593</v>
      </c>
      <c r="V987" s="7">
        <v>0.46457175925925925</v>
      </c>
      <c r="W987" s="6">
        <v>44609</v>
      </c>
      <c r="X987" s="7">
        <v>0.5</v>
      </c>
      <c r="Y987" s="8">
        <v>44610.594293981485</v>
      </c>
      <c r="Z987" s="5">
        <v>510</v>
      </c>
      <c r="AA987" s="1" t="s">
        <v>3403</v>
      </c>
      <c r="AB987" s="1"/>
      <c r="AC987" s="1"/>
      <c r="AD987" s="1"/>
      <c r="AE987" s="1" t="s">
        <v>3788</v>
      </c>
      <c r="AF987" s="1" t="s">
        <v>9</v>
      </c>
      <c r="AG987" s="4">
        <v>61</v>
      </c>
      <c r="AH987" s="1"/>
      <c r="AI987" s="6">
        <v>44910</v>
      </c>
    </row>
    <row r="988" spans="1:35" x14ac:dyDescent="0.3">
      <c r="A988" s="1" t="s">
        <v>1482</v>
      </c>
      <c r="B988" s="2" t="str">
        <f>HYPERLINK("https://my.zakupki.prom.ua/remote/dispatcher/state_purchase_view/34679779")</f>
        <v>https://my.zakupki.prom.ua/remote/dispatcher/state_purchase_view/34679779</v>
      </c>
      <c r="C988" s="1" t="s">
        <v>2383</v>
      </c>
      <c r="D988" s="1" t="s">
        <v>461</v>
      </c>
      <c r="E988" s="1" t="s">
        <v>4903</v>
      </c>
      <c r="F988" s="1" t="s">
        <v>4903</v>
      </c>
      <c r="G988" s="1" t="s">
        <v>4903</v>
      </c>
      <c r="H988" s="1" t="s">
        <v>190</v>
      </c>
      <c r="I988" s="1" t="s">
        <v>2861</v>
      </c>
      <c r="J988" s="5">
        <v>307116.62</v>
      </c>
      <c r="K988" s="1" t="s">
        <v>3394</v>
      </c>
      <c r="L988" s="5">
        <v>3071</v>
      </c>
      <c r="M988" s="1" t="s">
        <v>2308</v>
      </c>
      <c r="N988" s="1" t="s">
        <v>3983</v>
      </c>
      <c r="O988" s="1" t="s">
        <v>709</v>
      </c>
      <c r="P988" s="1" t="s">
        <v>2515</v>
      </c>
      <c r="Q988" s="1" t="s">
        <v>4794</v>
      </c>
      <c r="R988" s="1" t="s">
        <v>4632</v>
      </c>
      <c r="S988" s="1" t="s">
        <v>4971</v>
      </c>
      <c r="T988" s="6">
        <v>44593</v>
      </c>
      <c r="U988" s="6">
        <v>44593</v>
      </c>
      <c r="V988" s="7">
        <v>0.46836805555555555</v>
      </c>
      <c r="W988" s="6">
        <v>44609</v>
      </c>
      <c r="X988" s="7">
        <v>0</v>
      </c>
      <c r="Y988" s="8">
        <v>44609.489537037036</v>
      </c>
      <c r="Z988" s="5">
        <v>510</v>
      </c>
      <c r="AA988" s="1" t="s">
        <v>3403</v>
      </c>
      <c r="AB988" s="1"/>
      <c r="AC988" s="1"/>
      <c r="AD988" s="1"/>
      <c r="AE988" s="1" t="s">
        <v>3774</v>
      </c>
      <c r="AF988" s="1" t="s">
        <v>9</v>
      </c>
      <c r="AG988" s="1" t="s">
        <v>9</v>
      </c>
      <c r="AH988" s="1"/>
      <c r="AI988" s="6">
        <v>44926</v>
      </c>
    </row>
    <row r="989" spans="1:35" x14ac:dyDescent="0.3">
      <c r="A989" s="1" t="s">
        <v>1728</v>
      </c>
      <c r="B989" s="2" t="str">
        <f>HYPERLINK("https://my.zakupki.prom.ua/remote/dispatcher/state_purchase_view/34679770")</f>
        <v>https://my.zakupki.prom.ua/remote/dispatcher/state_purchase_view/34679770</v>
      </c>
      <c r="C989" s="1" t="s">
        <v>3909</v>
      </c>
      <c r="D989" s="1" t="s">
        <v>728</v>
      </c>
      <c r="E989" s="4">
        <v>295</v>
      </c>
      <c r="F989" s="5">
        <v>540.08000000000004</v>
      </c>
      <c r="G989" s="1" t="s">
        <v>4989</v>
      </c>
      <c r="H989" s="1" t="s">
        <v>973</v>
      </c>
      <c r="I989" s="1" t="s">
        <v>2545</v>
      </c>
      <c r="J989" s="5">
        <v>159323.6</v>
      </c>
      <c r="K989" s="1" t="s">
        <v>3394</v>
      </c>
      <c r="L989" s="5">
        <v>1593.24</v>
      </c>
      <c r="M989" s="1" t="s">
        <v>2308</v>
      </c>
      <c r="N989" s="1" t="s">
        <v>3983</v>
      </c>
      <c r="O989" s="1" t="s">
        <v>2521</v>
      </c>
      <c r="P989" s="1" t="s">
        <v>3956</v>
      </c>
      <c r="Q989" s="1" t="s">
        <v>3504</v>
      </c>
      <c r="R989" s="1" t="s">
        <v>4710</v>
      </c>
      <c r="S989" s="1" t="s">
        <v>4937</v>
      </c>
      <c r="T989" s="6">
        <v>44593</v>
      </c>
      <c r="U989" s="6">
        <v>44597</v>
      </c>
      <c r="V989" s="7">
        <v>0</v>
      </c>
      <c r="W989" s="6">
        <v>44602</v>
      </c>
      <c r="X989" s="7">
        <v>0</v>
      </c>
      <c r="Y989" s="1" t="s">
        <v>4860</v>
      </c>
      <c r="Z989" s="5">
        <v>340</v>
      </c>
      <c r="AA989" s="1" t="s">
        <v>3403</v>
      </c>
      <c r="AB989" s="1"/>
      <c r="AC989" s="1"/>
      <c r="AD989" s="1"/>
      <c r="AE989" s="1" t="s">
        <v>3765</v>
      </c>
      <c r="AF989" s="1" t="s">
        <v>9</v>
      </c>
      <c r="AG989" s="4">
        <v>19</v>
      </c>
      <c r="AH989" s="1"/>
      <c r="AI989" s="6">
        <v>44742</v>
      </c>
    </row>
    <row r="990" spans="1:35" x14ac:dyDescent="0.3">
      <c r="A990" s="1" t="s">
        <v>1473</v>
      </c>
      <c r="B990" s="2" t="str">
        <f>HYPERLINK("https://my.zakupki.prom.ua/remote/dispatcher/state_purchase_view/34679765")</f>
        <v>https://my.zakupki.prom.ua/remote/dispatcher/state_purchase_view/34679765</v>
      </c>
      <c r="C990" s="1" t="s">
        <v>2640</v>
      </c>
      <c r="D990" s="1" t="s">
        <v>468</v>
      </c>
      <c r="E990" s="4">
        <v>1564</v>
      </c>
      <c r="F990" s="5">
        <v>83.12</v>
      </c>
      <c r="G990" s="1" t="s">
        <v>4883</v>
      </c>
      <c r="H990" s="1" t="s">
        <v>1052</v>
      </c>
      <c r="I990" s="1" t="s">
        <v>2558</v>
      </c>
      <c r="J990" s="5">
        <v>130000</v>
      </c>
      <c r="K990" s="1" t="s">
        <v>3394</v>
      </c>
      <c r="L990" s="5">
        <v>650</v>
      </c>
      <c r="M990" s="1" t="s">
        <v>2308</v>
      </c>
      <c r="N990" s="1" t="s">
        <v>3983</v>
      </c>
      <c r="O990" s="1" t="s">
        <v>2521</v>
      </c>
      <c r="P990" s="1" t="s">
        <v>3956</v>
      </c>
      <c r="Q990" s="1" t="s">
        <v>3035</v>
      </c>
      <c r="R990" s="1" t="s">
        <v>4170</v>
      </c>
      <c r="S990" s="1" t="s">
        <v>4937</v>
      </c>
      <c r="T990" s="6">
        <v>44593</v>
      </c>
      <c r="U990" s="6">
        <v>44597</v>
      </c>
      <c r="V990" s="7">
        <v>0.46842592592592591</v>
      </c>
      <c r="W990" s="6">
        <v>44602</v>
      </c>
      <c r="X990" s="7">
        <v>0.46842592592592591</v>
      </c>
      <c r="Y990" s="1" t="s">
        <v>4860</v>
      </c>
      <c r="Z990" s="5">
        <v>340</v>
      </c>
      <c r="AA990" s="1" t="s">
        <v>3403</v>
      </c>
      <c r="AB990" s="1"/>
      <c r="AC990" s="1"/>
      <c r="AD990" s="1"/>
      <c r="AE990" s="1" t="s">
        <v>3789</v>
      </c>
      <c r="AF990" s="1" t="s">
        <v>9</v>
      </c>
      <c r="AG990" s="4">
        <v>3</v>
      </c>
      <c r="AH990" s="1"/>
      <c r="AI990" s="6">
        <v>44926</v>
      </c>
    </row>
    <row r="991" spans="1:35" x14ac:dyDescent="0.3">
      <c r="A991" s="1" t="s">
        <v>1751</v>
      </c>
      <c r="B991" s="2" t="str">
        <f>HYPERLINK("https://my.zakupki.prom.ua/remote/dispatcher/state_purchase_view/34679750")</f>
        <v>https://my.zakupki.prom.ua/remote/dispatcher/state_purchase_view/34679750</v>
      </c>
      <c r="C991" s="1" t="s">
        <v>3499</v>
      </c>
      <c r="D991" s="1" t="s">
        <v>521</v>
      </c>
      <c r="E991" s="1" t="s">
        <v>4903</v>
      </c>
      <c r="F991" s="1" t="s">
        <v>4903</v>
      </c>
      <c r="G991" s="1" t="s">
        <v>4903</v>
      </c>
      <c r="H991" s="1" t="s">
        <v>301</v>
      </c>
      <c r="I991" s="1" t="s">
        <v>3253</v>
      </c>
      <c r="J991" s="5">
        <v>10000</v>
      </c>
      <c r="K991" s="1" t="s">
        <v>3394</v>
      </c>
      <c r="L991" s="5">
        <v>100</v>
      </c>
      <c r="M991" s="1" t="s">
        <v>2308</v>
      </c>
      <c r="N991" s="1" t="s">
        <v>3983</v>
      </c>
      <c r="O991" s="1" t="s">
        <v>2521</v>
      </c>
      <c r="P991" s="1" t="s">
        <v>3956</v>
      </c>
      <c r="Q991" s="1" t="s">
        <v>3970</v>
      </c>
      <c r="R991" s="1" t="s">
        <v>4391</v>
      </c>
      <c r="S991" s="1" t="s">
        <v>4937</v>
      </c>
      <c r="T991" s="6">
        <v>44593</v>
      </c>
      <c r="U991" s="6">
        <v>44597</v>
      </c>
      <c r="V991" s="7">
        <v>0</v>
      </c>
      <c r="W991" s="6">
        <v>44602</v>
      </c>
      <c r="X991" s="7">
        <v>0</v>
      </c>
      <c r="Y991" s="1" t="s">
        <v>4860</v>
      </c>
      <c r="Z991" s="5">
        <v>17</v>
      </c>
      <c r="AA991" s="1" t="s">
        <v>3403</v>
      </c>
      <c r="AB991" s="1"/>
      <c r="AC991" s="1"/>
      <c r="AD991" s="1"/>
      <c r="AE991" s="1" t="s">
        <v>3801</v>
      </c>
      <c r="AF991" s="1" t="s">
        <v>9</v>
      </c>
      <c r="AG991" s="4">
        <v>1</v>
      </c>
      <c r="AH991" s="1"/>
      <c r="AI991" s="6">
        <v>44620</v>
      </c>
    </row>
    <row r="992" spans="1:35" x14ac:dyDescent="0.3">
      <c r="A992" s="1" t="s">
        <v>1480</v>
      </c>
      <c r="B992" s="2" t="str">
        <f>HYPERLINK("https://my.zakupki.prom.ua/remote/dispatcher/state_purchase_view/34679744")</f>
        <v>https://my.zakupki.prom.ua/remote/dispatcher/state_purchase_view/34679744</v>
      </c>
      <c r="C992" s="1" t="s">
        <v>3875</v>
      </c>
      <c r="D992" s="1" t="s">
        <v>480</v>
      </c>
      <c r="E992" s="1" t="s">
        <v>4903</v>
      </c>
      <c r="F992" s="1" t="s">
        <v>4903</v>
      </c>
      <c r="G992" s="1" t="s">
        <v>4903</v>
      </c>
      <c r="H992" s="1" t="s">
        <v>190</v>
      </c>
      <c r="I992" s="1" t="s">
        <v>2861</v>
      </c>
      <c r="J992" s="5">
        <v>279015.59999999998</v>
      </c>
      <c r="K992" s="1" t="s">
        <v>3394</v>
      </c>
      <c r="L992" s="5">
        <v>2790</v>
      </c>
      <c r="M992" s="1" t="s">
        <v>2308</v>
      </c>
      <c r="N992" s="1" t="s">
        <v>3983</v>
      </c>
      <c r="O992" s="1" t="s">
        <v>687</v>
      </c>
      <c r="P992" s="1" t="s">
        <v>2515</v>
      </c>
      <c r="Q992" s="1" t="s">
        <v>4794</v>
      </c>
      <c r="R992" s="1" t="s">
        <v>4632</v>
      </c>
      <c r="S992" s="1" t="s">
        <v>4971</v>
      </c>
      <c r="T992" s="6">
        <v>44593</v>
      </c>
      <c r="U992" s="6">
        <v>44593</v>
      </c>
      <c r="V992" s="7">
        <v>0.46820601851851851</v>
      </c>
      <c r="W992" s="6">
        <v>44609</v>
      </c>
      <c r="X992" s="7">
        <v>0</v>
      </c>
      <c r="Y992" s="8">
        <v>44609.556435185186</v>
      </c>
      <c r="Z992" s="5">
        <v>510</v>
      </c>
      <c r="AA992" s="1" t="s">
        <v>3403</v>
      </c>
      <c r="AB992" s="1"/>
      <c r="AC992" s="1"/>
      <c r="AD992" s="1"/>
      <c r="AE992" s="1" t="s">
        <v>3774</v>
      </c>
      <c r="AF992" s="1" t="s">
        <v>9</v>
      </c>
      <c r="AG992" s="1" t="s">
        <v>9</v>
      </c>
      <c r="AH992" s="1"/>
      <c r="AI992" s="6">
        <v>44926</v>
      </c>
    </row>
    <row r="993" spans="1:35" x14ac:dyDescent="0.3">
      <c r="A993" s="1" t="s">
        <v>1758</v>
      </c>
      <c r="B993" s="2" t="str">
        <f>HYPERLINK("https://my.zakupki.prom.ua/remote/dispatcher/state_purchase_view/34679742")</f>
        <v>https://my.zakupki.prom.ua/remote/dispatcher/state_purchase_view/34679742</v>
      </c>
      <c r="C993" s="1" t="s">
        <v>2533</v>
      </c>
      <c r="D993" s="1" t="s">
        <v>571</v>
      </c>
      <c r="E993" s="1" t="s">
        <v>4903</v>
      </c>
      <c r="F993" s="1" t="s">
        <v>4903</v>
      </c>
      <c r="G993" s="1" t="s">
        <v>4903</v>
      </c>
      <c r="H993" s="1" t="s">
        <v>129</v>
      </c>
      <c r="I993" s="1" t="s">
        <v>2822</v>
      </c>
      <c r="J993" s="5">
        <v>2100</v>
      </c>
      <c r="K993" s="1" t="s">
        <v>3394</v>
      </c>
      <c r="L993" s="5">
        <v>10.5</v>
      </c>
      <c r="M993" s="1" t="s">
        <v>2308</v>
      </c>
      <c r="N993" s="1" t="s">
        <v>3403</v>
      </c>
      <c r="O993" s="1" t="s">
        <v>2521</v>
      </c>
      <c r="P993" s="1" t="s">
        <v>2515</v>
      </c>
      <c r="Q993" s="1" t="s">
        <v>2820</v>
      </c>
      <c r="R993" s="1" t="s">
        <v>4659</v>
      </c>
      <c r="S993" s="1" t="s">
        <v>4971</v>
      </c>
      <c r="T993" s="6">
        <v>44593</v>
      </c>
      <c r="U993" s="6">
        <v>44593</v>
      </c>
      <c r="V993" s="7">
        <v>0.4670138888888889</v>
      </c>
      <c r="W993" s="6">
        <v>44609</v>
      </c>
      <c r="X993" s="7">
        <v>0.375</v>
      </c>
      <c r="Y993" s="8">
        <v>44610.613912037035</v>
      </c>
      <c r="Z993" s="5">
        <v>17</v>
      </c>
      <c r="AA993" s="1" t="s">
        <v>3403</v>
      </c>
      <c r="AB993" s="1"/>
      <c r="AC993" s="1"/>
      <c r="AD993" s="1"/>
      <c r="AE993" s="1" t="s">
        <v>2358</v>
      </c>
      <c r="AF993" s="1" t="s">
        <v>9</v>
      </c>
      <c r="AG993" s="4">
        <v>32</v>
      </c>
      <c r="AH993" s="1"/>
      <c r="AI993" s="6">
        <v>44918</v>
      </c>
    </row>
    <row r="994" spans="1:35" x14ac:dyDescent="0.3">
      <c r="A994" s="1" t="s">
        <v>1536</v>
      </c>
      <c r="B994" s="2" t="str">
        <f>HYPERLINK("https://my.zakupki.prom.ua/remote/dispatcher/state_purchase_view/34679734")</f>
        <v>https://my.zakupki.prom.ua/remote/dispatcher/state_purchase_view/34679734</v>
      </c>
      <c r="C994" s="1" t="s">
        <v>3025</v>
      </c>
      <c r="D994" s="1" t="s">
        <v>519</v>
      </c>
      <c r="E994" s="4">
        <v>480</v>
      </c>
      <c r="F994" s="5">
        <v>790</v>
      </c>
      <c r="G994" s="1" t="s">
        <v>4989</v>
      </c>
      <c r="H994" s="1" t="s">
        <v>367</v>
      </c>
      <c r="I994" s="1" t="s">
        <v>2523</v>
      </c>
      <c r="J994" s="5">
        <v>379200</v>
      </c>
      <c r="K994" s="1" t="s">
        <v>3394</v>
      </c>
      <c r="L994" s="5">
        <v>3792</v>
      </c>
      <c r="M994" s="1" t="s">
        <v>2308</v>
      </c>
      <c r="N994" s="1" t="s">
        <v>3983</v>
      </c>
      <c r="O994" s="1" t="s">
        <v>2521</v>
      </c>
      <c r="P994" s="1" t="s">
        <v>2515</v>
      </c>
      <c r="Q994" s="1" t="s">
        <v>3878</v>
      </c>
      <c r="R994" s="1" t="s">
        <v>4082</v>
      </c>
      <c r="S994" s="1" t="s">
        <v>4971</v>
      </c>
      <c r="T994" s="6">
        <v>44593</v>
      </c>
      <c r="U994" s="6">
        <v>44593</v>
      </c>
      <c r="V994" s="7">
        <v>0.42393118038194444</v>
      </c>
      <c r="W994" s="6">
        <v>44609</v>
      </c>
      <c r="X994" s="7">
        <v>0.66666666666666663</v>
      </c>
      <c r="Y994" s="8">
        <v>44610.649467592593</v>
      </c>
      <c r="Z994" s="5">
        <v>510</v>
      </c>
      <c r="AA994" s="1" t="s">
        <v>3403</v>
      </c>
      <c r="AB994" s="1"/>
      <c r="AC994" s="1"/>
      <c r="AD994" s="1"/>
      <c r="AE994" s="1" t="s">
        <v>3765</v>
      </c>
      <c r="AF994" s="1" t="s">
        <v>9</v>
      </c>
      <c r="AG994" s="4">
        <v>2</v>
      </c>
      <c r="AH994" s="1"/>
      <c r="AI994" s="6">
        <v>44778</v>
      </c>
    </row>
    <row r="995" spans="1:35" x14ac:dyDescent="0.3">
      <c r="A995" s="1" t="s">
        <v>1324</v>
      </c>
      <c r="B995" s="2" t="str">
        <f>HYPERLINK("https://my.zakupki.prom.ua/remote/dispatcher/state_purchase_view/34679732")</f>
        <v>https://my.zakupki.prom.ua/remote/dispatcher/state_purchase_view/34679732</v>
      </c>
      <c r="C995" s="1" t="s">
        <v>2681</v>
      </c>
      <c r="D995" s="1" t="s">
        <v>1251</v>
      </c>
      <c r="E995" s="4">
        <v>1</v>
      </c>
      <c r="F995" s="5">
        <v>120000</v>
      </c>
      <c r="G995" s="1" t="s">
        <v>4940</v>
      </c>
      <c r="H995" s="1" t="s">
        <v>139</v>
      </c>
      <c r="I995" s="1" t="s">
        <v>2590</v>
      </c>
      <c r="J995" s="5">
        <v>120000</v>
      </c>
      <c r="K995" s="1" t="s">
        <v>3394</v>
      </c>
      <c r="L995" s="5">
        <v>600</v>
      </c>
      <c r="M995" s="1" t="s">
        <v>2308</v>
      </c>
      <c r="N995" s="1" t="s">
        <v>3983</v>
      </c>
      <c r="O995" s="1" t="s">
        <v>2521</v>
      </c>
      <c r="P995" s="1" t="s">
        <v>3956</v>
      </c>
      <c r="Q995" s="1" t="s">
        <v>3262</v>
      </c>
      <c r="R995" s="1" t="s">
        <v>4518</v>
      </c>
      <c r="S995" s="1" t="s">
        <v>4937</v>
      </c>
      <c r="T995" s="6">
        <v>44593</v>
      </c>
      <c r="U995" s="6">
        <v>44599</v>
      </c>
      <c r="V995" s="7">
        <v>0.35416666666666669</v>
      </c>
      <c r="W995" s="6">
        <v>44602</v>
      </c>
      <c r="X995" s="7">
        <v>0.5</v>
      </c>
      <c r="Y995" s="1" t="s">
        <v>4860</v>
      </c>
      <c r="Z995" s="5">
        <v>340</v>
      </c>
      <c r="AA995" s="1" t="s">
        <v>3403</v>
      </c>
      <c r="AB995" s="1"/>
      <c r="AC995" s="1"/>
      <c r="AD995" s="1"/>
      <c r="AE995" s="1" t="s">
        <v>3760</v>
      </c>
      <c r="AF995" s="1" t="s">
        <v>9</v>
      </c>
      <c r="AG995" s="4">
        <v>4</v>
      </c>
      <c r="AH995" s="1"/>
      <c r="AI995" s="6">
        <v>44926</v>
      </c>
    </row>
    <row r="996" spans="1:35" x14ac:dyDescent="0.3">
      <c r="A996" s="1" t="s">
        <v>1451</v>
      </c>
      <c r="B996" s="2" t="str">
        <f>HYPERLINK("https://my.zakupki.prom.ua/remote/dispatcher/state_purchase_view/34679713")</f>
        <v>https://my.zakupki.prom.ua/remote/dispatcher/state_purchase_view/34679713</v>
      </c>
      <c r="C996" s="1" t="s">
        <v>3301</v>
      </c>
      <c r="D996" s="1" t="s">
        <v>474</v>
      </c>
      <c r="E996" s="4">
        <v>4430</v>
      </c>
      <c r="F996" s="5">
        <v>220</v>
      </c>
      <c r="G996" s="1" t="s">
        <v>4883</v>
      </c>
      <c r="H996" s="1" t="s">
        <v>981</v>
      </c>
      <c r="I996" s="1" t="s">
        <v>2712</v>
      </c>
      <c r="J996" s="5">
        <v>974600</v>
      </c>
      <c r="K996" s="1" t="s">
        <v>3394</v>
      </c>
      <c r="L996" s="5">
        <v>4873</v>
      </c>
      <c r="M996" s="1" t="s">
        <v>2308</v>
      </c>
      <c r="N996" s="1" t="s">
        <v>3983</v>
      </c>
      <c r="O996" s="1" t="s">
        <v>2521</v>
      </c>
      <c r="P996" s="1" t="s">
        <v>2515</v>
      </c>
      <c r="Q996" s="1" t="s">
        <v>2334</v>
      </c>
      <c r="R996" s="1" t="s">
        <v>4108</v>
      </c>
      <c r="S996" s="1" t="s">
        <v>4971</v>
      </c>
      <c r="T996" s="6">
        <v>44593</v>
      </c>
      <c r="U996" s="6">
        <v>44593</v>
      </c>
      <c r="V996" s="7">
        <v>0.46090465190972224</v>
      </c>
      <c r="W996" s="6">
        <v>44609</v>
      </c>
      <c r="X996" s="7">
        <v>0.46436342592592594</v>
      </c>
      <c r="Y996" s="8">
        <v>44610.483055555553</v>
      </c>
      <c r="Z996" s="5">
        <v>510</v>
      </c>
      <c r="AA996" s="1" t="s">
        <v>3403</v>
      </c>
      <c r="AB996" s="1"/>
      <c r="AC996" s="1"/>
      <c r="AD996" s="1"/>
      <c r="AE996" s="1" t="s">
        <v>3817</v>
      </c>
      <c r="AF996" s="1" t="s">
        <v>9</v>
      </c>
      <c r="AG996" s="4">
        <v>31</v>
      </c>
      <c r="AH996" s="1"/>
      <c r="AI996" s="6">
        <v>44926</v>
      </c>
    </row>
    <row r="997" spans="1:35" x14ac:dyDescent="0.3">
      <c r="A997" s="1" t="s">
        <v>1770</v>
      </c>
      <c r="B997" s="2" t="str">
        <f>HYPERLINK("https://my.zakupki.prom.ua/remote/dispatcher/state_purchase_view/34679710")</f>
        <v>https://my.zakupki.prom.ua/remote/dispatcher/state_purchase_view/34679710</v>
      </c>
      <c r="C997" s="1" t="s">
        <v>3856</v>
      </c>
      <c r="D997" s="1" t="s">
        <v>453</v>
      </c>
      <c r="E997" s="4">
        <v>1370</v>
      </c>
      <c r="F997" s="5">
        <v>130</v>
      </c>
      <c r="G997" s="1" t="s">
        <v>4901</v>
      </c>
      <c r="H997" s="1" t="s">
        <v>1011</v>
      </c>
      <c r="I997" s="1" t="s">
        <v>2508</v>
      </c>
      <c r="J997" s="5">
        <v>178100</v>
      </c>
      <c r="K997" s="1" t="s">
        <v>3394</v>
      </c>
      <c r="L997" s="5">
        <v>890.5</v>
      </c>
      <c r="M997" s="1" t="s">
        <v>2308</v>
      </c>
      <c r="N997" s="1" t="s">
        <v>3983</v>
      </c>
      <c r="O997" s="1" t="s">
        <v>2521</v>
      </c>
      <c r="P997" s="1" t="s">
        <v>3956</v>
      </c>
      <c r="Q997" s="1" t="s">
        <v>3970</v>
      </c>
      <c r="R997" s="1" t="s">
        <v>4647</v>
      </c>
      <c r="S997" s="1" t="s">
        <v>4937</v>
      </c>
      <c r="T997" s="6">
        <v>44593</v>
      </c>
      <c r="U997" s="6">
        <v>44599</v>
      </c>
      <c r="V997" s="7">
        <v>0.46527777777777779</v>
      </c>
      <c r="W997" s="6">
        <v>44606</v>
      </c>
      <c r="X997" s="7">
        <v>0.46319444444444446</v>
      </c>
      <c r="Y997" s="1" t="s">
        <v>4860</v>
      </c>
      <c r="Z997" s="5">
        <v>340</v>
      </c>
      <c r="AA997" s="1" t="s">
        <v>3403</v>
      </c>
      <c r="AB997" s="1"/>
      <c r="AC997" s="1"/>
      <c r="AD997" s="1"/>
      <c r="AE997" s="1" t="s">
        <v>3774</v>
      </c>
      <c r="AF997" s="1" t="s">
        <v>9</v>
      </c>
      <c r="AG997" s="1" t="s">
        <v>9</v>
      </c>
      <c r="AH997" s="6">
        <v>44652</v>
      </c>
      <c r="AI997" s="6">
        <v>44926</v>
      </c>
    </row>
    <row r="998" spans="1:35" x14ac:dyDescent="0.3">
      <c r="A998" s="1" t="s">
        <v>1767</v>
      </c>
      <c r="B998" s="2" t="str">
        <f>HYPERLINK("https://my.zakupki.prom.ua/remote/dispatcher/state_purchase_view/34679660")</f>
        <v>https://my.zakupki.prom.ua/remote/dispatcher/state_purchase_view/34679660</v>
      </c>
      <c r="C998" s="1" t="s">
        <v>4014</v>
      </c>
      <c r="D998" s="1" t="s">
        <v>1198</v>
      </c>
      <c r="E998" s="4">
        <v>1</v>
      </c>
      <c r="F998" s="5">
        <v>116000</v>
      </c>
      <c r="G998" s="1" t="s">
        <v>4940</v>
      </c>
      <c r="H998" s="1" t="s">
        <v>534</v>
      </c>
      <c r="I998" s="1" t="s">
        <v>2527</v>
      </c>
      <c r="J998" s="5">
        <v>116000</v>
      </c>
      <c r="K998" s="1" t="s">
        <v>3394</v>
      </c>
      <c r="L998" s="5">
        <v>580</v>
      </c>
      <c r="M998" s="1" t="s">
        <v>2308</v>
      </c>
      <c r="N998" s="1" t="s">
        <v>3983</v>
      </c>
      <c r="O998" s="1" t="s">
        <v>2521</v>
      </c>
      <c r="P998" s="1" t="s">
        <v>3956</v>
      </c>
      <c r="Q998" s="1" t="s">
        <v>2528</v>
      </c>
      <c r="R998" s="1" t="s">
        <v>4403</v>
      </c>
      <c r="S998" s="1" t="s">
        <v>4937</v>
      </c>
      <c r="T998" s="6">
        <v>44593</v>
      </c>
      <c r="U998" s="6">
        <v>44599</v>
      </c>
      <c r="V998" s="7">
        <v>0.33333333333333331</v>
      </c>
      <c r="W998" s="6">
        <v>44603</v>
      </c>
      <c r="X998" s="7">
        <v>0.54166666666666663</v>
      </c>
      <c r="Y998" s="1" t="s">
        <v>4860</v>
      </c>
      <c r="Z998" s="5">
        <v>340</v>
      </c>
      <c r="AA998" s="1" t="s">
        <v>3403</v>
      </c>
      <c r="AB998" s="1"/>
      <c r="AC998" s="1"/>
      <c r="AD998" s="1"/>
      <c r="AE998" s="1" t="s">
        <v>3743</v>
      </c>
      <c r="AF998" s="1" t="s">
        <v>9</v>
      </c>
      <c r="AG998" s="4">
        <v>5</v>
      </c>
      <c r="AH998" s="1"/>
      <c r="AI998" s="6">
        <v>44926</v>
      </c>
    </row>
    <row r="999" spans="1:35" x14ac:dyDescent="0.3">
      <c r="A999" s="1" t="s">
        <v>1765</v>
      </c>
      <c r="B999" s="2" t="str">
        <f>HYPERLINK("https://my.zakupki.prom.ua/remote/dispatcher/state_purchase_view/34679659")</f>
        <v>https://my.zakupki.prom.ua/remote/dispatcher/state_purchase_view/34679659</v>
      </c>
      <c r="C999" s="1" t="s">
        <v>4020</v>
      </c>
      <c r="D999" s="1" t="s">
        <v>814</v>
      </c>
      <c r="E999" s="1" t="s">
        <v>4903</v>
      </c>
      <c r="F999" s="1" t="s">
        <v>4903</v>
      </c>
      <c r="G999" s="1" t="s">
        <v>4903</v>
      </c>
      <c r="H999" s="1" t="s">
        <v>56</v>
      </c>
      <c r="I999" s="1" t="s">
        <v>2958</v>
      </c>
      <c r="J999" s="5">
        <v>5580</v>
      </c>
      <c r="K999" s="1" t="s">
        <v>3394</v>
      </c>
      <c r="L999" s="5">
        <v>55.8</v>
      </c>
      <c r="M999" s="1" t="s">
        <v>2308</v>
      </c>
      <c r="N999" s="1" t="s">
        <v>3983</v>
      </c>
      <c r="O999" s="1" t="s">
        <v>2521</v>
      </c>
      <c r="P999" s="1" t="s">
        <v>2762</v>
      </c>
      <c r="Q999" s="1" t="s">
        <v>2756</v>
      </c>
      <c r="R999" s="1" t="s">
        <v>4174</v>
      </c>
      <c r="S999" s="1" t="s">
        <v>4937</v>
      </c>
      <c r="T999" s="6">
        <v>44593</v>
      </c>
      <c r="U999" s="6">
        <v>44599</v>
      </c>
      <c r="V999" s="7">
        <v>0.54166666666666663</v>
      </c>
      <c r="W999" s="6">
        <v>44603</v>
      </c>
      <c r="X999" s="7">
        <v>0.625</v>
      </c>
      <c r="Y999" s="1" t="s">
        <v>4860</v>
      </c>
      <c r="Z999" s="5">
        <v>17</v>
      </c>
      <c r="AA999" s="1" t="s">
        <v>3403</v>
      </c>
      <c r="AB999" s="1"/>
      <c r="AC999" s="1"/>
      <c r="AD999" s="1"/>
      <c r="AE999" s="1" t="s">
        <v>3788</v>
      </c>
      <c r="AF999" s="1" t="s">
        <v>9</v>
      </c>
      <c r="AG999" s="1" t="s">
        <v>9</v>
      </c>
      <c r="AH999" s="1"/>
      <c r="AI999" s="6">
        <v>44926</v>
      </c>
    </row>
    <row r="1000" spans="1:35" x14ac:dyDescent="0.3">
      <c r="A1000" s="1" t="s">
        <v>1764</v>
      </c>
      <c r="B1000" s="2" t="str">
        <f>HYPERLINK("https://my.zakupki.prom.ua/remote/dispatcher/state_purchase_view/34679649")</f>
        <v>https://my.zakupki.prom.ua/remote/dispatcher/state_purchase_view/34679649</v>
      </c>
      <c r="C1000" s="1" t="s">
        <v>3869</v>
      </c>
      <c r="D1000" s="1" t="s">
        <v>1220</v>
      </c>
      <c r="E1000" s="4">
        <v>1</v>
      </c>
      <c r="F1000" s="5">
        <v>300000</v>
      </c>
      <c r="G1000" s="1" t="s">
        <v>4976</v>
      </c>
      <c r="H1000" s="1" t="s">
        <v>298</v>
      </c>
      <c r="I1000" s="1" t="s">
        <v>3984</v>
      </c>
      <c r="J1000" s="5">
        <v>300000</v>
      </c>
      <c r="K1000" s="1" t="s">
        <v>3394</v>
      </c>
      <c r="L1000" s="5">
        <v>1500</v>
      </c>
      <c r="M1000" s="1" t="s">
        <v>2308</v>
      </c>
      <c r="N1000" s="1" t="s">
        <v>3983</v>
      </c>
      <c r="O1000" s="1" t="s">
        <v>2521</v>
      </c>
      <c r="P1000" s="1" t="s">
        <v>3956</v>
      </c>
      <c r="Q1000" s="1" t="s">
        <v>3426</v>
      </c>
      <c r="R1000" s="1" t="s">
        <v>4081</v>
      </c>
      <c r="S1000" s="1" t="s">
        <v>4937</v>
      </c>
      <c r="T1000" s="6">
        <v>44593</v>
      </c>
      <c r="U1000" s="6">
        <v>44599</v>
      </c>
      <c r="V1000" s="7">
        <v>0.4597222222222222</v>
      </c>
      <c r="W1000" s="6">
        <v>44606</v>
      </c>
      <c r="X1000" s="7">
        <v>0.46041666666666664</v>
      </c>
      <c r="Y1000" s="1" t="s">
        <v>4860</v>
      </c>
      <c r="Z1000" s="5">
        <v>510</v>
      </c>
      <c r="AA1000" s="1" t="s">
        <v>3403</v>
      </c>
      <c r="AB1000" s="1"/>
      <c r="AC1000" s="1"/>
      <c r="AD1000" s="1"/>
      <c r="AE1000" s="1" t="s">
        <v>3694</v>
      </c>
      <c r="AF1000" s="1" t="s">
        <v>9</v>
      </c>
      <c r="AG1000" s="4">
        <v>2</v>
      </c>
      <c r="AH1000" s="1"/>
      <c r="AI1000" s="6">
        <v>44712</v>
      </c>
    </row>
    <row r="1001" spans="1:35" x14ac:dyDescent="0.3">
      <c r="A1001" s="1" t="s">
        <v>1762</v>
      </c>
      <c r="B1001" s="2" t="str">
        <f>HYPERLINK("https://my.zakupki.prom.ua/remote/dispatcher/state_purchase_view/34679639")</f>
        <v>https://my.zakupki.prom.ua/remote/dispatcher/state_purchase_view/34679639</v>
      </c>
      <c r="C1001" s="1" t="s">
        <v>3055</v>
      </c>
      <c r="D1001" s="1" t="s">
        <v>496</v>
      </c>
      <c r="E1001" s="1" t="s">
        <v>4903</v>
      </c>
      <c r="F1001" s="1" t="s">
        <v>4903</v>
      </c>
      <c r="G1001" s="1" t="s">
        <v>4903</v>
      </c>
      <c r="H1001" s="1" t="s">
        <v>603</v>
      </c>
      <c r="I1001" s="1" t="s">
        <v>2522</v>
      </c>
      <c r="J1001" s="5">
        <v>199950</v>
      </c>
      <c r="K1001" s="1" t="s">
        <v>3394</v>
      </c>
      <c r="L1001" s="5">
        <v>1000</v>
      </c>
      <c r="M1001" s="1" t="s">
        <v>2308</v>
      </c>
      <c r="N1001" s="1" t="s">
        <v>3983</v>
      </c>
      <c r="O1001" s="1" t="s">
        <v>2521</v>
      </c>
      <c r="P1001" s="1" t="s">
        <v>3956</v>
      </c>
      <c r="Q1001" s="1" t="s">
        <v>2756</v>
      </c>
      <c r="R1001" s="1" t="s">
        <v>4575</v>
      </c>
      <c r="S1001" s="1" t="s">
        <v>4937</v>
      </c>
      <c r="T1001" s="6">
        <v>44593</v>
      </c>
      <c r="U1001" s="6">
        <v>44599</v>
      </c>
      <c r="V1001" s="7">
        <v>0</v>
      </c>
      <c r="W1001" s="6">
        <v>44602</v>
      </c>
      <c r="X1001" s="7">
        <v>0</v>
      </c>
      <c r="Y1001" s="1" t="s">
        <v>4860</v>
      </c>
      <c r="Z1001" s="5">
        <v>340</v>
      </c>
      <c r="AA1001" s="1" t="s">
        <v>3403</v>
      </c>
      <c r="AB1001" s="1"/>
      <c r="AC1001" s="1"/>
      <c r="AD1001" s="1"/>
      <c r="AE1001" s="1" t="s">
        <v>3801</v>
      </c>
      <c r="AF1001" s="1" t="s">
        <v>9</v>
      </c>
      <c r="AG1001" s="4">
        <v>12</v>
      </c>
      <c r="AH1001" s="1"/>
      <c r="AI1001" s="6">
        <v>44926</v>
      </c>
    </row>
    <row r="1002" spans="1:35" x14ac:dyDescent="0.3">
      <c r="A1002" s="1" t="s">
        <v>1760</v>
      </c>
      <c r="B1002" s="2" t="str">
        <f>HYPERLINK("https://my.zakupki.prom.ua/remote/dispatcher/state_purchase_view/34678849")</f>
        <v>https://my.zakupki.prom.ua/remote/dispatcher/state_purchase_view/34678849</v>
      </c>
      <c r="C1002" s="1" t="s">
        <v>3485</v>
      </c>
      <c r="D1002" s="1" t="s">
        <v>597</v>
      </c>
      <c r="E1002" s="4">
        <v>3000</v>
      </c>
      <c r="F1002" s="5">
        <v>23.33</v>
      </c>
      <c r="G1002" s="1" t="s">
        <v>4991</v>
      </c>
      <c r="H1002" s="1" t="s">
        <v>385</v>
      </c>
      <c r="I1002" s="1" t="s">
        <v>2348</v>
      </c>
      <c r="J1002" s="5">
        <v>70000</v>
      </c>
      <c r="K1002" s="1" t="s">
        <v>3394</v>
      </c>
      <c r="L1002" s="5">
        <v>400</v>
      </c>
      <c r="M1002" s="1" t="s">
        <v>2308</v>
      </c>
      <c r="N1002" s="1" t="s">
        <v>3983</v>
      </c>
      <c r="O1002" s="1" t="s">
        <v>2521</v>
      </c>
      <c r="P1002" s="1" t="s">
        <v>2762</v>
      </c>
      <c r="Q1002" s="1" t="s">
        <v>2497</v>
      </c>
      <c r="R1002" s="1" t="s">
        <v>4588</v>
      </c>
      <c r="S1002" s="1" t="s">
        <v>4937</v>
      </c>
      <c r="T1002" s="6">
        <v>44593</v>
      </c>
      <c r="U1002" s="6">
        <v>44599</v>
      </c>
      <c r="V1002" s="7">
        <v>0</v>
      </c>
      <c r="W1002" s="6">
        <v>44602</v>
      </c>
      <c r="X1002" s="7">
        <v>0</v>
      </c>
      <c r="Y1002" s="1" t="s">
        <v>4860</v>
      </c>
      <c r="Z1002" s="5">
        <v>340</v>
      </c>
      <c r="AA1002" s="1" t="s">
        <v>3403</v>
      </c>
      <c r="AB1002" s="1"/>
      <c r="AC1002" s="1"/>
      <c r="AD1002" s="1"/>
      <c r="AE1002" s="1" t="s">
        <v>3795</v>
      </c>
      <c r="AF1002" s="1" t="s">
        <v>9</v>
      </c>
      <c r="AG1002" s="1" t="s">
        <v>9</v>
      </c>
      <c r="AH1002" s="6">
        <v>44608</v>
      </c>
      <c r="AI1002" s="6">
        <v>44618</v>
      </c>
    </row>
    <row r="1003" spans="1:35" x14ac:dyDescent="0.3">
      <c r="A1003" s="1" t="s">
        <v>1755</v>
      </c>
      <c r="B1003" s="2" t="str">
        <f>HYPERLINK("https://my.zakupki.prom.ua/remote/dispatcher/state_purchase_view/34679564")</f>
        <v>https://my.zakupki.prom.ua/remote/dispatcher/state_purchase_view/34679564</v>
      </c>
      <c r="C1003" s="1" t="s">
        <v>4801</v>
      </c>
      <c r="D1003" s="1" t="s">
        <v>495</v>
      </c>
      <c r="E1003" s="1" t="s">
        <v>4903</v>
      </c>
      <c r="F1003" s="1" t="s">
        <v>4903</v>
      </c>
      <c r="G1003" s="1" t="s">
        <v>4903</v>
      </c>
      <c r="H1003" s="1" t="s">
        <v>311</v>
      </c>
      <c r="I1003" s="1" t="s">
        <v>2758</v>
      </c>
      <c r="J1003" s="5">
        <v>105000</v>
      </c>
      <c r="K1003" s="1" t="s">
        <v>3394</v>
      </c>
      <c r="L1003" s="5">
        <v>1050</v>
      </c>
      <c r="M1003" s="1" t="s">
        <v>2308</v>
      </c>
      <c r="N1003" s="1" t="s">
        <v>3983</v>
      </c>
      <c r="O1003" s="1" t="s">
        <v>2521</v>
      </c>
      <c r="P1003" s="1" t="s">
        <v>3956</v>
      </c>
      <c r="Q1003" s="1" t="s">
        <v>4834</v>
      </c>
      <c r="R1003" s="1" t="s">
        <v>4081</v>
      </c>
      <c r="S1003" s="1" t="s">
        <v>4937</v>
      </c>
      <c r="T1003" s="6">
        <v>44593</v>
      </c>
      <c r="U1003" s="6">
        <v>44599</v>
      </c>
      <c r="V1003" s="7">
        <v>0.46319444444444446</v>
      </c>
      <c r="W1003" s="6">
        <v>44602</v>
      </c>
      <c r="X1003" s="7">
        <v>0.33333333333333331</v>
      </c>
      <c r="Y1003" s="1" t="s">
        <v>4860</v>
      </c>
      <c r="Z1003" s="5">
        <v>340</v>
      </c>
      <c r="AA1003" s="1" t="s">
        <v>3403</v>
      </c>
      <c r="AB1003" s="1"/>
      <c r="AC1003" s="1"/>
      <c r="AD1003" s="1"/>
      <c r="AE1003" s="1" t="s">
        <v>3774</v>
      </c>
      <c r="AF1003" s="1" t="s">
        <v>9</v>
      </c>
      <c r="AG1003" s="1" t="s">
        <v>9</v>
      </c>
      <c r="AH1003" s="1"/>
      <c r="AI1003" s="6">
        <v>44926</v>
      </c>
    </row>
    <row r="1004" spans="1:35" x14ac:dyDescent="0.3">
      <c r="A1004" s="1" t="s">
        <v>1754</v>
      </c>
      <c r="B1004" s="2" t="str">
        <f>HYPERLINK("https://my.zakupki.prom.ua/remote/dispatcher/state_purchase_view/34679536")</f>
        <v>https://my.zakupki.prom.ua/remote/dispatcher/state_purchase_view/34679536</v>
      </c>
      <c r="C1004" s="1" t="s">
        <v>3904</v>
      </c>
      <c r="D1004" s="1" t="s">
        <v>224</v>
      </c>
      <c r="E1004" s="1" t="s">
        <v>4903</v>
      </c>
      <c r="F1004" s="1" t="s">
        <v>4903</v>
      </c>
      <c r="G1004" s="1" t="s">
        <v>4903</v>
      </c>
      <c r="H1004" s="1" t="s">
        <v>274</v>
      </c>
      <c r="I1004" s="1" t="s">
        <v>2690</v>
      </c>
      <c r="J1004" s="5">
        <v>15700</v>
      </c>
      <c r="K1004" s="1" t="s">
        <v>3394</v>
      </c>
      <c r="L1004" s="5">
        <v>157</v>
      </c>
      <c r="M1004" s="1" t="s">
        <v>2308</v>
      </c>
      <c r="N1004" s="1" t="s">
        <v>3983</v>
      </c>
      <c r="O1004" s="1" t="s">
        <v>2521</v>
      </c>
      <c r="P1004" s="1" t="s">
        <v>3956</v>
      </c>
      <c r="Q1004" s="1" t="s">
        <v>3504</v>
      </c>
      <c r="R1004" s="1" t="s">
        <v>4151</v>
      </c>
      <c r="S1004" s="1" t="s">
        <v>4937</v>
      </c>
      <c r="T1004" s="6">
        <v>44593</v>
      </c>
      <c r="U1004" s="6">
        <v>44599</v>
      </c>
      <c r="V1004" s="7">
        <v>0.375</v>
      </c>
      <c r="W1004" s="6">
        <v>44602</v>
      </c>
      <c r="X1004" s="7">
        <v>0.375</v>
      </c>
      <c r="Y1004" s="1" t="s">
        <v>4860</v>
      </c>
      <c r="Z1004" s="5">
        <v>17</v>
      </c>
      <c r="AA1004" s="1" t="s">
        <v>3403</v>
      </c>
      <c r="AB1004" s="1"/>
      <c r="AC1004" s="1"/>
      <c r="AD1004" s="1"/>
      <c r="AE1004" s="1" t="s">
        <v>3787</v>
      </c>
      <c r="AF1004" s="1" t="s">
        <v>9</v>
      </c>
      <c r="AG1004" s="4">
        <v>1</v>
      </c>
      <c r="AH1004" s="1"/>
      <c r="AI1004" s="6">
        <v>44926</v>
      </c>
    </row>
    <row r="1005" spans="1:35" x14ac:dyDescent="0.3">
      <c r="A1005" s="1" t="s">
        <v>1753</v>
      </c>
      <c r="B1005" s="2" t="str">
        <f>HYPERLINK("https://my.zakupki.prom.ua/remote/dispatcher/state_purchase_view/34679528")</f>
        <v>https://my.zakupki.prom.ua/remote/dispatcher/state_purchase_view/34679528</v>
      </c>
      <c r="C1005" s="1" t="s">
        <v>2653</v>
      </c>
      <c r="D1005" s="1" t="s">
        <v>807</v>
      </c>
      <c r="E1005" s="1" t="s">
        <v>4903</v>
      </c>
      <c r="F1005" s="1" t="s">
        <v>4903</v>
      </c>
      <c r="G1005" s="1" t="s">
        <v>4903</v>
      </c>
      <c r="H1005" s="1" t="s">
        <v>103</v>
      </c>
      <c r="I1005" s="1" t="s">
        <v>3126</v>
      </c>
      <c r="J1005" s="5">
        <v>79758</v>
      </c>
      <c r="K1005" s="1" t="s">
        <v>3394</v>
      </c>
      <c r="L1005" s="5">
        <v>398.79</v>
      </c>
      <c r="M1005" s="1" t="s">
        <v>2308</v>
      </c>
      <c r="N1005" s="1" t="s">
        <v>3983</v>
      </c>
      <c r="O1005" s="1" t="s">
        <v>2521</v>
      </c>
      <c r="P1005" s="1" t="s">
        <v>3956</v>
      </c>
      <c r="Q1005" s="1" t="s">
        <v>4794</v>
      </c>
      <c r="R1005" s="1" t="s">
        <v>4666</v>
      </c>
      <c r="S1005" s="1" t="s">
        <v>4937</v>
      </c>
      <c r="T1005" s="6">
        <v>44593</v>
      </c>
      <c r="U1005" s="6">
        <v>44599</v>
      </c>
      <c r="V1005" s="7">
        <v>0.33333333333333331</v>
      </c>
      <c r="W1005" s="6">
        <v>44602</v>
      </c>
      <c r="X1005" s="7">
        <v>0.41666666666666669</v>
      </c>
      <c r="Y1005" s="1" t="s">
        <v>4860</v>
      </c>
      <c r="Z1005" s="5">
        <v>340</v>
      </c>
      <c r="AA1005" s="1" t="s">
        <v>3403</v>
      </c>
      <c r="AB1005" s="1"/>
      <c r="AC1005" s="1"/>
      <c r="AD1005" s="1"/>
      <c r="AE1005" s="1" t="s">
        <v>3767</v>
      </c>
      <c r="AF1005" s="1" t="s">
        <v>9</v>
      </c>
      <c r="AG1005" s="4">
        <v>6</v>
      </c>
      <c r="AH1005" s="1"/>
      <c r="AI1005" s="6">
        <v>44926</v>
      </c>
    </row>
    <row r="1006" spans="1:35" x14ac:dyDescent="0.3">
      <c r="A1006" s="1" t="s">
        <v>1750</v>
      </c>
      <c r="B1006" s="2" t="str">
        <f>HYPERLINK("https://my.zakupki.prom.ua/remote/dispatcher/state_purchase_view/34679397")</f>
        <v>https://my.zakupki.prom.ua/remote/dispatcher/state_purchase_view/34679397</v>
      </c>
      <c r="C1006" s="1" t="s">
        <v>3045</v>
      </c>
      <c r="D1006" s="1" t="s">
        <v>1258</v>
      </c>
      <c r="E1006" s="4">
        <v>1</v>
      </c>
      <c r="F1006" s="5">
        <v>742000</v>
      </c>
      <c r="G1006" s="1" t="s">
        <v>4940</v>
      </c>
      <c r="H1006" s="1" t="s">
        <v>732</v>
      </c>
      <c r="I1006" s="1" t="s">
        <v>2979</v>
      </c>
      <c r="J1006" s="5">
        <v>742000</v>
      </c>
      <c r="K1006" s="1" t="s">
        <v>3394</v>
      </c>
      <c r="L1006" s="5">
        <v>7420</v>
      </c>
      <c r="M1006" s="1" t="s">
        <v>2308</v>
      </c>
      <c r="N1006" s="1" t="s">
        <v>3403</v>
      </c>
      <c r="O1006" s="1" t="s">
        <v>2521</v>
      </c>
      <c r="P1006" s="1" t="s">
        <v>3956</v>
      </c>
      <c r="Q1006" s="1" t="s">
        <v>4794</v>
      </c>
      <c r="R1006" s="1" t="s">
        <v>4622</v>
      </c>
      <c r="S1006" s="1" t="s">
        <v>4937</v>
      </c>
      <c r="T1006" s="6">
        <v>44593</v>
      </c>
      <c r="U1006" s="6">
        <v>44599</v>
      </c>
      <c r="V1006" s="7">
        <v>0.5</v>
      </c>
      <c r="W1006" s="6">
        <v>44602</v>
      </c>
      <c r="X1006" s="7">
        <v>0.5</v>
      </c>
      <c r="Y1006" s="1" t="s">
        <v>4860</v>
      </c>
      <c r="Z1006" s="5">
        <v>510</v>
      </c>
      <c r="AA1006" s="1" t="s">
        <v>3403</v>
      </c>
      <c r="AB1006" s="1"/>
      <c r="AC1006" s="1"/>
      <c r="AD1006" s="1"/>
      <c r="AE1006" s="1" t="s">
        <v>3750</v>
      </c>
      <c r="AF1006" s="1" t="s">
        <v>9</v>
      </c>
      <c r="AG1006" s="4">
        <v>37</v>
      </c>
      <c r="AH1006" s="1"/>
      <c r="AI1006" s="6">
        <v>44926</v>
      </c>
    </row>
    <row r="1007" spans="1:35" x14ac:dyDescent="0.3">
      <c r="A1007" s="1" t="s">
        <v>1685</v>
      </c>
      <c r="B1007" s="2" t="str">
        <f>HYPERLINK("https://my.zakupki.prom.ua/remote/dispatcher/state_purchase_view/34679489")</f>
        <v>https://my.zakupki.prom.ua/remote/dispatcher/state_purchase_view/34679489</v>
      </c>
      <c r="C1007" s="1" t="s">
        <v>3667</v>
      </c>
      <c r="D1007" s="1" t="s">
        <v>1152</v>
      </c>
      <c r="E1007" s="4">
        <v>11</v>
      </c>
      <c r="F1007" s="5">
        <v>6726</v>
      </c>
      <c r="G1007" s="1" t="s">
        <v>4989</v>
      </c>
      <c r="H1007" s="1" t="s">
        <v>17</v>
      </c>
      <c r="I1007" s="1" t="s">
        <v>2350</v>
      </c>
      <c r="J1007" s="5">
        <v>73986</v>
      </c>
      <c r="K1007" s="1" t="s">
        <v>3394</v>
      </c>
      <c r="L1007" s="5">
        <v>369.93</v>
      </c>
      <c r="M1007" s="1" t="s">
        <v>2308</v>
      </c>
      <c r="N1007" s="1" t="s">
        <v>3403</v>
      </c>
      <c r="O1007" s="1" t="s">
        <v>2521</v>
      </c>
      <c r="P1007" s="1" t="s">
        <v>3956</v>
      </c>
      <c r="Q1007" s="1" t="s">
        <v>3262</v>
      </c>
      <c r="R1007" s="1" t="s">
        <v>4378</v>
      </c>
      <c r="S1007" s="1" t="s">
        <v>4937</v>
      </c>
      <c r="T1007" s="6">
        <v>44593</v>
      </c>
      <c r="U1007" s="6">
        <v>44599</v>
      </c>
      <c r="V1007" s="7">
        <v>0</v>
      </c>
      <c r="W1007" s="6">
        <v>44602</v>
      </c>
      <c r="X1007" s="7">
        <v>0</v>
      </c>
      <c r="Y1007" s="1" t="s">
        <v>4860</v>
      </c>
      <c r="Z1007" s="5">
        <v>340</v>
      </c>
      <c r="AA1007" s="1" t="s">
        <v>3403</v>
      </c>
      <c r="AB1007" s="1"/>
      <c r="AC1007" s="1"/>
      <c r="AD1007" s="1"/>
      <c r="AE1007" s="1" t="s">
        <v>3734</v>
      </c>
      <c r="AF1007" s="1" t="s">
        <v>9</v>
      </c>
      <c r="AG1007" s="4">
        <v>2</v>
      </c>
      <c r="AH1007" s="1"/>
      <c r="AI1007" s="6">
        <v>44652</v>
      </c>
    </row>
    <row r="1008" spans="1:35" x14ac:dyDescent="0.3">
      <c r="A1008" s="1" t="s">
        <v>1447</v>
      </c>
      <c r="B1008" s="2" t="str">
        <f>HYPERLINK("https://my.zakupki.prom.ua/remote/dispatcher/state_purchase_view/34679478")</f>
        <v>https://my.zakupki.prom.ua/remote/dispatcher/state_purchase_view/34679478</v>
      </c>
      <c r="C1008" s="1" t="s">
        <v>3063</v>
      </c>
      <c r="D1008" s="1" t="s">
        <v>465</v>
      </c>
      <c r="E1008" s="1" t="s">
        <v>4903</v>
      </c>
      <c r="F1008" s="1" t="s">
        <v>4903</v>
      </c>
      <c r="G1008" s="1" t="s">
        <v>4903</v>
      </c>
      <c r="H1008" s="1" t="s">
        <v>179</v>
      </c>
      <c r="I1008" s="1" t="s">
        <v>2552</v>
      </c>
      <c r="J1008" s="5">
        <v>50000</v>
      </c>
      <c r="K1008" s="1" t="s">
        <v>3394</v>
      </c>
      <c r="L1008" s="5">
        <v>250</v>
      </c>
      <c r="M1008" s="1" t="s">
        <v>2308</v>
      </c>
      <c r="N1008" s="1" t="s">
        <v>3983</v>
      </c>
      <c r="O1008" s="1" t="s">
        <v>2521</v>
      </c>
      <c r="P1008" s="1" t="s">
        <v>3956</v>
      </c>
      <c r="Q1008" s="1" t="s">
        <v>2497</v>
      </c>
      <c r="R1008" s="1" t="s">
        <v>4515</v>
      </c>
      <c r="S1008" s="1" t="s">
        <v>4937</v>
      </c>
      <c r="T1008" s="6">
        <v>44593</v>
      </c>
      <c r="U1008" s="6">
        <v>44599</v>
      </c>
      <c r="V1008" s="7">
        <v>0.52083333333333337</v>
      </c>
      <c r="W1008" s="6">
        <v>44602</v>
      </c>
      <c r="X1008" s="7">
        <v>0.52083333333333337</v>
      </c>
      <c r="Y1008" s="1" t="s">
        <v>4860</v>
      </c>
      <c r="Z1008" s="5">
        <v>119</v>
      </c>
      <c r="AA1008" s="1" t="s">
        <v>3403</v>
      </c>
      <c r="AB1008" s="1"/>
      <c r="AC1008" s="1"/>
      <c r="AD1008" s="1"/>
      <c r="AE1008" s="1" t="s">
        <v>3768</v>
      </c>
      <c r="AF1008" s="1" t="s">
        <v>9</v>
      </c>
      <c r="AG1008" s="4">
        <v>4</v>
      </c>
      <c r="AH1008" s="1"/>
      <c r="AI1008" s="6">
        <v>44915</v>
      </c>
    </row>
    <row r="1009" spans="1:35" x14ac:dyDescent="0.3">
      <c r="A1009" s="1" t="s">
        <v>1748</v>
      </c>
      <c r="B1009" s="2" t="str">
        <f>HYPERLINK("https://my.zakupki.prom.ua/remote/dispatcher/state_purchase_view/34679467")</f>
        <v>https://my.zakupki.prom.ua/remote/dispatcher/state_purchase_view/34679467</v>
      </c>
      <c r="C1009" s="1" t="s">
        <v>4890</v>
      </c>
      <c r="D1009" s="1" t="s">
        <v>446</v>
      </c>
      <c r="E1009" s="1" t="s">
        <v>4903</v>
      </c>
      <c r="F1009" s="1" t="s">
        <v>4903</v>
      </c>
      <c r="G1009" s="1" t="s">
        <v>4903</v>
      </c>
      <c r="H1009" s="1" t="s">
        <v>607</v>
      </c>
      <c r="I1009" s="1" t="s">
        <v>3204</v>
      </c>
      <c r="J1009" s="5">
        <v>149200</v>
      </c>
      <c r="K1009" s="1" t="s">
        <v>3394</v>
      </c>
      <c r="L1009" s="5">
        <v>746</v>
      </c>
      <c r="M1009" s="1" t="s">
        <v>2308</v>
      </c>
      <c r="N1009" s="1" t="s">
        <v>3983</v>
      </c>
      <c r="O1009" s="1" t="s">
        <v>2521</v>
      </c>
      <c r="P1009" s="1" t="s">
        <v>3956</v>
      </c>
      <c r="Q1009" s="1" t="s">
        <v>2756</v>
      </c>
      <c r="R1009" s="1" t="s">
        <v>4284</v>
      </c>
      <c r="S1009" s="1" t="s">
        <v>4937</v>
      </c>
      <c r="T1009" s="6">
        <v>44593</v>
      </c>
      <c r="U1009" s="6">
        <v>44599</v>
      </c>
      <c r="V1009" s="7">
        <v>0</v>
      </c>
      <c r="W1009" s="6">
        <v>44602</v>
      </c>
      <c r="X1009" s="7">
        <v>0</v>
      </c>
      <c r="Y1009" s="1" t="s">
        <v>4860</v>
      </c>
      <c r="Z1009" s="5">
        <v>340</v>
      </c>
      <c r="AA1009" s="1" t="s">
        <v>3403</v>
      </c>
      <c r="AB1009" s="1"/>
      <c r="AC1009" s="1"/>
      <c r="AD1009" s="1"/>
      <c r="AE1009" s="1" t="s">
        <v>3788</v>
      </c>
      <c r="AF1009" s="1" t="s">
        <v>9</v>
      </c>
      <c r="AG1009" s="1" t="s">
        <v>9</v>
      </c>
      <c r="AH1009" s="1"/>
      <c r="AI1009" s="6">
        <v>44926</v>
      </c>
    </row>
    <row r="1010" spans="1:35" x14ac:dyDescent="0.3">
      <c r="A1010" s="1" t="s">
        <v>1747</v>
      </c>
      <c r="B1010" s="2" t="str">
        <f>HYPERLINK("https://my.zakupki.prom.ua/remote/dispatcher/state_purchase_view/34679150")</f>
        <v>https://my.zakupki.prom.ua/remote/dispatcher/state_purchase_view/34679150</v>
      </c>
      <c r="C1010" s="1" t="s">
        <v>3334</v>
      </c>
      <c r="D1010" s="1" t="s">
        <v>471</v>
      </c>
      <c r="E1010" s="1" t="s">
        <v>4903</v>
      </c>
      <c r="F1010" s="1" t="s">
        <v>4903</v>
      </c>
      <c r="G1010" s="1" t="s">
        <v>4903</v>
      </c>
      <c r="H1010" s="1" t="s">
        <v>92</v>
      </c>
      <c r="I1010" s="1" t="s">
        <v>2889</v>
      </c>
      <c r="J1010" s="5">
        <v>620350</v>
      </c>
      <c r="K1010" s="1" t="s">
        <v>3394</v>
      </c>
      <c r="L1010" s="5">
        <v>3101.75</v>
      </c>
      <c r="M1010" s="1" t="s">
        <v>2308</v>
      </c>
      <c r="N1010" s="1" t="s">
        <v>3983</v>
      </c>
      <c r="O1010" s="1" t="s">
        <v>2521</v>
      </c>
      <c r="P1010" s="1" t="s">
        <v>2515</v>
      </c>
      <c r="Q1010" s="1" t="s">
        <v>3325</v>
      </c>
      <c r="R1010" s="1" t="s">
        <v>4254</v>
      </c>
      <c r="S1010" s="1" t="s">
        <v>4971</v>
      </c>
      <c r="T1010" s="6">
        <v>44593</v>
      </c>
      <c r="U1010" s="6">
        <v>44593</v>
      </c>
      <c r="V1010" s="7">
        <v>0.46292767453703704</v>
      </c>
      <c r="W1010" s="6">
        <v>44609</v>
      </c>
      <c r="X1010" s="7">
        <v>0</v>
      </c>
      <c r="Y1010" s="8">
        <v>44609.662766203706</v>
      </c>
      <c r="Z1010" s="5">
        <v>510</v>
      </c>
      <c r="AA1010" s="1" t="s">
        <v>3403</v>
      </c>
      <c r="AB1010" s="1"/>
      <c r="AC1010" s="1"/>
      <c r="AD1010" s="1"/>
      <c r="AE1010" s="1" t="s">
        <v>3787</v>
      </c>
      <c r="AF1010" s="1" t="s">
        <v>9</v>
      </c>
      <c r="AG1010" s="4">
        <v>4</v>
      </c>
      <c r="AH1010" s="1"/>
      <c r="AI1010" s="6">
        <v>44926</v>
      </c>
    </row>
    <row r="1011" spans="1:35" x14ac:dyDescent="0.3">
      <c r="A1011" s="1" t="s">
        <v>1445</v>
      </c>
      <c r="B1011" s="2" t="str">
        <f>HYPERLINK("https://my.zakupki.prom.ua/remote/dispatcher/state_purchase_view/34679453")</f>
        <v>https://my.zakupki.prom.ua/remote/dispatcher/state_purchase_view/34679453</v>
      </c>
      <c r="C1011" s="1" t="s">
        <v>3269</v>
      </c>
      <c r="D1011" s="1" t="s">
        <v>796</v>
      </c>
      <c r="E1011" s="1" t="s">
        <v>4903</v>
      </c>
      <c r="F1011" s="1" t="s">
        <v>4903</v>
      </c>
      <c r="G1011" s="1" t="s">
        <v>4903</v>
      </c>
      <c r="H1011" s="1" t="s">
        <v>59</v>
      </c>
      <c r="I1011" s="1" t="s">
        <v>3116</v>
      </c>
      <c r="J1011" s="5">
        <v>116000</v>
      </c>
      <c r="K1011" s="1" t="s">
        <v>3394</v>
      </c>
      <c r="L1011" s="5">
        <v>580</v>
      </c>
      <c r="M1011" s="1" t="s">
        <v>2308</v>
      </c>
      <c r="N1011" s="1" t="s">
        <v>3983</v>
      </c>
      <c r="O1011" s="1" t="s">
        <v>2521</v>
      </c>
      <c r="P1011" s="1" t="s">
        <v>2515</v>
      </c>
      <c r="Q1011" s="1" t="s">
        <v>2756</v>
      </c>
      <c r="R1011" s="1" t="s">
        <v>4374</v>
      </c>
      <c r="S1011" s="1" t="s">
        <v>4971</v>
      </c>
      <c r="T1011" s="6">
        <v>44593</v>
      </c>
      <c r="U1011" s="6">
        <v>44593</v>
      </c>
      <c r="V1011" s="7">
        <v>0.45984051864583331</v>
      </c>
      <c r="W1011" s="6">
        <v>44609</v>
      </c>
      <c r="X1011" s="7">
        <v>0</v>
      </c>
      <c r="Y1011" s="8">
        <v>44609.511793981481</v>
      </c>
      <c r="Z1011" s="5">
        <v>340</v>
      </c>
      <c r="AA1011" s="1" t="s">
        <v>3403</v>
      </c>
      <c r="AB1011" s="1"/>
      <c r="AC1011" s="1"/>
      <c r="AD1011" s="1"/>
      <c r="AE1011" s="1" t="s">
        <v>3788</v>
      </c>
      <c r="AF1011" s="1" t="s">
        <v>9</v>
      </c>
      <c r="AG1011" s="4">
        <v>1</v>
      </c>
      <c r="AH1011" s="1"/>
      <c r="AI1011" s="6">
        <v>44926</v>
      </c>
    </row>
    <row r="1012" spans="1:35" x14ac:dyDescent="0.3">
      <c r="A1012" s="1" t="s">
        <v>1450</v>
      </c>
      <c r="B1012" s="2" t="str">
        <f>HYPERLINK("https://my.zakupki.prom.ua/remote/dispatcher/state_purchase_view/34679447")</f>
        <v>https://my.zakupki.prom.ua/remote/dispatcher/state_purchase_view/34679447</v>
      </c>
      <c r="C1012" s="1" t="s">
        <v>3486</v>
      </c>
      <c r="D1012" s="1" t="s">
        <v>526</v>
      </c>
      <c r="E1012" s="4">
        <v>413</v>
      </c>
      <c r="F1012" s="5">
        <v>120</v>
      </c>
      <c r="G1012" s="1" t="s">
        <v>4909</v>
      </c>
      <c r="H1012" s="1" t="s">
        <v>352</v>
      </c>
      <c r="I1012" s="1" t="s">
        <v>4715</v>
      </c>
      <c r="J1012" s="5">
        <v>49560</v>
      </c>
      <c r="K1012" s="1" t="s">
        <v>3394</v>
      </c>
      <c r="L1012" s="5">
        <v>495.6</v>
      </c>
      <c r="M1012" s="1" t="s">
        <v>2308</v>
      </c>
      <c r="N1012" s="1" t="s">
        <v>3403</v>
      </c>
      <c r="O1012" s="1" t="s">
        <v>2521</v>
      </c>
      <c r="P1012" s="1" t="s">
        <v>2762</v>
      </c>
      <c r="Q1012" s="1" t="s">
        <v>3325</v>
      </c>
      <c r="R1012" s="1" t="s">
        <v>4081</v>
      </c>
      <c r="S1012" s="1" t="s">
        <v>4937</v>
      </c>
      <c r="T1012" s="6">
        <v>44593</v>
      </c>
      <c r="U1012" s="6">
        <v>44600</v>
      </c>
      <c r="V1012" s="7">
        <v>0.70833333333333337</v>
      </c>
      <c r="W1012" s="6">
        <v>44603</v>
      </c>
      <c r="X1012" s="7">
        <v>0.70833333333333337</v>
      </c>
      <c r="Y1012" s="1" t="s">
        <v>4860</v>
      </c>
      <c r="Z1012" s="5">
        <v>119</v>
      </c>
      <c r="AA1012" s="1" t="s">
        <v>3403</v>
      </c>
      <c r="AB1012" s="1"/>
      <c r="AC1012" s="1"/>
      <c r="AD1012" s="1"/>
      <c r="AE1012" s="1" t="s">
        <v>3814</v>
      </c>
      <c r="AF1012" s="1" t="s">
        <v>9</v>
      </c>
      <c r="AG1012" s="1" t="s">
        <v>9</v>
      </c>
      <c r="AH1012" s="1"/>
      <c r="AI1012" s="1"/>
    </row>
    <row r="1013" spans="1:35" x14ac:dyDescent="0.3">
      <c r="A1013" s="1" t="s">
        <v>1440</v>
      </c>
      <c r="B1013" s="2" t="str">
        <f>HYPERLINK("https://my.zakupki.prom.ua/remote/dispatcher/state_purchase_view/34679439")</f>
        <v>https://my.zakupki.prom.ua/remote/dispatcher/state_purchase_view/34679439</v>
      </c>
      <c r="C1013" s="1" t="s">
        <v>3542</v>
      </c>
      <c r="D1013" s="1" t="s">
        <v>1243</v>
      </c>
      <c r="E1013" s="4">
        <v>7296</v>
      </c>
      <c r="F1013" s="5">
        <v>65</v>
      </c>
      <c r="G1013" s="1" t="s">
        <v>3267</v>
      </c>
      <c r="H1013" s="1" t="s">
        <v>890</v>
      </c>
      <c r="I1013" s="1" t="s">
        <v>4718</v>
      </c>
      <c r="J1013" s="5">
        <v>474240</v>
      </c>
      <c r="K1013" s="1" t="s">
        <v>3394</v>
      </c>
      <c r="L1013" s="5">
        <v>2845.44</v>
      </c>
      <c r="M1013" s="1" t="s">
        <v>2308</v>
      </c>
      <c r="N1013" s="1" t="s">
        <v>3983</v>
      </c>
      <c r="O1013" s="1" t="s">
        <v>2521</v>
      </c>
      <c r="P1013" s="1" t="s">
        <v>2515</v>
      </c>
      <c r="Q1013" s="1" t="s">
        <v>3035</v>
      </c>
      <c r="R1013" s="1" t="s">
        <v>4194</v>
      </c>
      <c r="S1013" s="1" t="s">
        <v>4971</v>
      </c>
      <c r="T1013" s="6">
        <v>44593</v>
      </c>
      <c r="U1013" s="6">
        <v>44593</v>
      </c>
      <c r="V1013" s="7">
        <v>0.45848666248842596</v>
      </c>
      <c r="W1013" s="6">
        <v>44609</v>
      </c>
      <c r="X1013" s="7">
        <v>0.33333333333333331</v>
      </c>
      <c r="Y1013" s="8">
        <v>44610.509629629632</v>
      </c>
      <c r="Z1013" s="5">
        <v>510</v>
      </c>
      <c r="AA1013" s="1" t="s">
        <v>3403</v>
      </c>
      <c r="AB1013" s="1"/>
      <c r="AC1013" s="1"/>
      <c r="AD1013" s="1"/>
      <c r="AE1013" s="1" t="s">
        <v>3727</v>
      </c>
      <c r="AF1013" s="1" t="s">
        <v>9</v>
      </c>
      <c r="AG1013" s="4">
        <v>3</v>
      </c>
      <c r="AH1013" s="1"/>
      <c r="AI1013" s="6">
        <v>44926</v>
      </c>
    </row>
    <row r="1014" spans="1:35" x14ac:dyDescent="0.3">
      <c r="A1014" s="1" t="s">
        <v>1746</v>
      </c>
      <c r="B1014" s="2" t="str">
        <f>HYPERLINK("https://my.zakupki.prom.ua/remote/dispatcher/state_purchase_view/34679402")</f>
        <v>https://my.zakupki.prom.ua/remote/dispatcher/state_purchase_view/34679402</v>
      </c>
      <c r="C1014" s="1" t="s">
        <v>3842</v>
      </c>
      <c r="D1014" s="1" t="s">
        <v>1139</v>
      </c>
      <c r="E1014" s="4">
        <v>1</v>
      </c>
      <c r="F1014" s="5">
        <v>668491</v>
      </c>
      <c r="G1014" s="1" t="s">
        <v>4991</v>
      </c>
      <c r="H1014" s="1" t="s">
        <v>324</v>
      </c>
      <c r="I1014" s="1" t="s">
        <v>2346</v>
      </c>
      <c r="J1014" s="5">
        <v>668491</v>
      </c>
      <c r="K1014" s="1" t="s">
        <v>3394</v>
      </c>
      <c r="L1014" s="5">
        <v>3500</v>
      </c>
      <c r="M1014" s="1" t="s">
        <v>2308</v>
      </c>
      <c r="N1014" s="1" t="s">
        <v>3983</v>
      </c>
      <c r="O1014" s="1" t="s">
        <v>756</v>
      </c>
      <c r="P1014" s="1" t="s">
        <v>3956</v>
      </c>
      <c r="Q1014" s="1" t="s">
        <v>4798</v>
      </c>
      <c r="R1014" s="1" t="s">
        <v>4081</v>
      </c>
      <c r="S1014" s="1" t="s">
        <v>4937</v>
      </c>
      <c r="T1014" s="6">
        <v>44593</v>
      </c>
      <c r="U1014" s="6">
        <v>44599</v>
      </c>
      <c r="V1014" s="7">
        <v>0.375</v>
      </c>
      <c r="W1014" s="6">
        <v>44602</v>
      </c>
      <c r="X1014" s="7">
        <v>0.45833333333333331</v>
      </c>
      <c r="Y1014" s="1" t="s">
        <v>4860</v>
      </c>
      <c r="Z1014" s="5">
        <v>510</v>
      </c>
      <c r="AA1014" s="1" t="s">
        <v>3403</v>
      </c>
      <c r="AB1014" s="1"/>
      <c r="AC1014" s="1"/>
      <c r="AD1014" s="1"/>
      <c r="AE1014" s="1" t="s">
        <v>3711</v>
      </c>
      <c r="AF1014" s="1" t="s">
        <v>9</v>
      </c>
      <c r="AG1014" s="4">
        <v>17</v>
      </c>
      <c r="AH1014" s="6">
        <v>44652</v>
      </c>
      <c r="AI1014" s="6">
        <v>44671</v>
      </c>
    </row>
    <row r="1015" spans="1:35" x14ac:dyDescent="0.3">
      <c r="A1015" s="1" t="s">
        <v>1448</v>
      </c>
      <c r="B1015" s="2" t="str">
        <f>HYPERLINK("https://my.zakupki.prom.ua/remote/dispatcher/state_purchase_view/34679400")</f>
        <v>https://my.zakupki.prom.ua/remote/dispatcher/state_purchase_view/34679400</v>
      </c>
      <c r="C1015" s="1" t="s">
        <v>3279</v>
      </c>
      <c r="D1015" s="1" t="s">
        <v>448</v>
      </c>
      <c r="E1015" s="1" t="s">
        <v>4903</v>
      </c>
      <c r="F1015" s="1" t="s">
        <v>4903</v>
      </c>
      <c r="G1015" s="1" t="s">
        <v>4903</v>
      </c>
      <c r="H1015" s="1" t="s">
        <v>535</v>
      </c>
      <c r="I1015" s="1" t="s">
        <v>2703</v>
      </c>
      <c r="J1015" s="5">
        <v>130000</v>
      </c>
      <c r="K1015" s="1" t="s">
        <v>3394</v>
      </c>
      <c r="L1015" s="5">
        <v>650</v>
      </c>
      <c r="M1015" s="1" t="s">
        <v>2308</v>
      </c>
      <c r="N1015" s="1" t="s">
        <v>3983</v>
      </c>
      <c r="O1015" s="1" t="s">
        <v>2521</v>
      </c>
      <c r="P1015" s="1" t="s">
        <v>3956</v>
      </c>
      <c r="Q1015" s="1" t="s">
        <v>2528</v>
      </c>
      <c r="R1015" s="1" t="s">
        <v>4065</v>
      </c>
      <c r="S1015" s="1" t="s">
        <v>4937</v>
      </c>
      <c r="T1015" s="6">
        <v>44593</v>
      </c>
      <c r="U1015" s="6">
        <v>44600</v>
      </c>
      <c r="V1015" s="7">
        <v>0</v>
      </c>
      <c r="W1015" s="6">
        <v>44602</v>
      </c>
      <c r="X1015" s="7">
        <v>0</v>
      </c>
      <c r="Y1015" s="1" t="s">
        <v>4860</v>
      </c>
      <c r="Z1015" s="5">
        <v>340</v>
      </c>
      <c r="AA1015" s="1" t="s">
        <v>3403</v>
      </c>
      <c r="AB1015" s="1"/>
      <c r="AC1015" s="1"/>
      <c r="AD1015" s="1"/>
      <c r="AE1015" s="1" t="s">
        <v>3774</v>
      </c>
      <c r="AF1015" s="1" t="s">
        <v>9</v>
      </c>
      <c r="AG1015" s="1" t="s">
        <v>9</v>
      </c>
      <c r="AH1015" s="1"/>
      <c r="AI1015" s="6">
        <v>44926</v>
      </c>
    </row>
    <row r="1016" spans="1:35" x14ac:dyDescent="0.3">
      <c r="A1016" s="1" t="s">
        <v>1460</v>
      </c>
      <c r="B1016" s="2" t="str">
        <f>HYPERLINK("https://my.zakupki.prom.ua/remote/dispatcher/state_purchase_view/34679395")</f>
        <v>https://my.zakupki.prom.ua/remote/dispatcher/state_purchase_view/34679395</v>
      </c>
      <c r="C1016" s="1" t="s">
        <v>3997</v>
      </c>
      <c r="D1016" s="1" t="s">
        <v>1155</v>
      </c>
      <c r="E1016" s="4">
        <v>1</v>
      </c>
      <c r="F1016" s="5">
        <v>18000</v>
      </c>
      <c r="G1016" s="1" t="s">
        <v>4939</v>
      </c>
      <c r="H1016" s="1" t="s">
        <v>303</v>
      </c>
      <c r="I1016" s="1" t="s">
        <v>3881</v>
      </c>
      <c r="J1016" s="5">
        <v>18000</v>
      </c>
      <c r="K1016" s="1" t="s">
        <v>3394</v>
      </c>
      <c r="L1016" s="5">
        <v>90</v>
      </c>
      <c r="M1016" s="1" t="s">
        <v>2308</v>
      </c>
      <c r="N1016" s="1" t="s">
        <v>3983</v>
      </c>
      <c r="O1016" s="1" t="s">
        <v>2521</v>
      </c>
      <c r="P1016" s="1" t="s">
        <v>3956</v>
      </c>
      <c r="Q1016" s="1" t="s">
        <v>4794</v>
      </c>
      <c r="R1016" s="1" t="s">
        <v>4081</v>
      </c>
      <c r="S1016" s="1" t="s">
        <v>4937</v>
      </c>
      <c r="T1016" s="6">
        <v>44593</v>
      </c>
      <c r="U1016" s="6">
        <v>44597</v>
      </c>
      <c r="V1016" s="7">
        <v>0.5</v>
      </c>
      <c r="W1016" s="6">
        <v>44602</v>
      </c>
      <c r="X1016" s="7">
        <v>0.41666666666666669</v>
      </c>
      <c r="Y1016" s="1" t="s">
        <v>4860</v>
      </c>
      <c r="Z1016" s="5">
        <v>17</v>
      </c>
      <c r="AA1016" s="1" t="s">
        <v>3403</v>
      </c>
      <c r="AB1016" s="1"/>
      <c r="AC1016" s="1"/>
      <c r="AD1016" s="1"/>
      <c r="AE1016" s="1" t="s">
        <v>3759</v>
      </c>
      <c r="AF1016" s="1" t="s">
        <v>9</v>
      </c>
      <c r="AG1016" s="4">
        <v>6</v>
      </c>
      <c r="AH1016" s="1"/>
      <c r="AI1016" s="6">
        <v>44926</v>
      </c>
    </row>
    <row r="1017" spans="1:35" x14ac:dyDescent="0.3">
      <c r="A1017" s="1" t="s">
        <v>1456</v>
      </c>
      <c r="B1017" s="2" t="str">
        <f>HYPERLINK("https://my.zakupki.prom.ua/remote/dispatcher/state_purchase_view/34679403")</f>
        <v>https://my.zakupki.prom.ua/remote/dispatcher/state_purchase_view/34679403</v>
      </c>
      <c r="C1017" s="1" t="s">
        <v>3308</v>
      </c>
      <c r="D1017" s="1" t="s">
        <v>780</v>
      </c>
      <c r="E1017" s="1" t="s">
        <v>4903</v>
      </c>
      <c r="F1017" s="1" t="s">
        <v>4903</v>
      </c>
      <c r="G1017" s="1" t="s">
        <v>4903</v>
      </c>
      <c r="H1017" s="1" t="s">
        <v>125</v>
      </c>
      <c r="I1017" s="1" t="s">
        <v>2887</v>
      </c>
      <c r="J1017" s="5">
        <v>420000</v>
      </c>
      <c r="K1017" s="1" t="s">
        <v>3394</v>
      </c>
      <c r="L1017" s="5">
        <v>2100</v>
      </c>
      <c r="M1017" s="1" t="s">
        <v>2308</v>
      </c>
      <c r="N1017" s="1" t="s">
        <v>3983</v>
      </c>
      <c r="O1017" s="1" t="s">
        <v>2521</v>
      </c>
      <c r="P1017" s="1" t="s">
        <v>2515</v>
      </c>
      <c r="Q1017" s="1" t="s">
        <v>4834</v>
      </c>
      <c r="R1017" s="1" t="s">
        <v>4081</v>
      </c>
      <c r="S1017" s="1" t="s">
        <v>4971</v>
      </c>
      <c r="T1017" s="6">
        <v>44593</v>
      </c>
      <c r="U1017" s="6">
        <v>44593</v>
      </c>
      <c r="V1017" s="7">
        <v>0.46376157407407409</v>
      </c>
      <c r="W1017" s="6">
        <v>44609</v>
      </c>
      <c r="X1017" s="7">
        <v>0.5</v>
      </c>
      <c r="Y1017" s="8">
        <v>44610.661631944444</v>
      </c>
      <c r="Z1017" s="5">
        <v>510</v>
      </c>
      <c r="AA1017" s="1" t="s">
        <v>3403</v>
      </c>
      <c r="AB1017" s="1"/>
      <c r="AC1017" s="1"/>
      <c r="AD1017" s="1"/>
      <c r="AE1017" s="1" t="s">
        <v>3765</v>
      </c>
      <c r="AF1017" s="1" t="s">
        <v>9</v>
      </c>
      <c r="AG1017" s="4">
        <v>7</v>
      </c>
      <c r="AH1017" s="1"/>
      <c r="AI1017" s="6">
        <v>44926</v>
      </c>
    </row>
    <row r="1018" spans="1:35" x14ac:dyDescent="0.3">
      <c r="A1018" s="1" t="s">
        <v>1461</v>
      </c>
      <c r="B1018" s="2" t="str">
        <f>HYPERLINK("https://my.zakupki.prom.ua/remote/dispatcher/state_purchase_view/34679387")</f>
        <v>https://my.zakupki.prom.ua/remote/dispatcher/state_purchase_view/34679387</v>
      </c>
      <c r="C1018" s="1" t="s">
        <v>4036</v>
      </c>
      <c r="D1018" s="1" t="s">
        <v>724</v>
      </c>
      <c r="E1018" s="4">
        <v>5</v>
      </c>
      <c r="F1018" s="5">
        <v>3000</v>
      </c>
      <c r="G1018" s="1" t="s">
        <v>4991</v>
      </c>
      <c r="H1018" s="1" t="s">
        <v>23</v>
      </c>
      <c r="I1018" s="1" t="s">
        <v>2391</v>
      </c>
      <c r="J1018" s="5">
        <v>15000</v>
      </c>
      <c r="K1018" s="1" t="s">
        <v>3394</v>
      </c>
      <c r="L1018" s="5">
        <v>75</v>
      </c>
      <c r="M1018" s="1" t="s">
        <v>2308</v>
      </c>
      <c r="N1018" s="1" t="s">
        <v>3983</v>
      </c>
      <c r="O1018" s="1" t="s">
        <v>2521</v>
      </c>
      <c r="P1018" s="1" t="s">
        <v>3956</v>
      </c>
      <c r="Q1018" s="1" t="s">
        <v>3035</v>
      </c>
      <c r="R1018" s="1" t="s">
        <v>4077</v>
      </c>
      <c r="S1018" s="1" t="s">
        <v>4937</v>
      </c>
      <c r="T1018" s="6">
        <v>44593</v>
      </c>
      <c r="U1018" s="6">
        <v>44599</v>
      </c>
      <c r="V1018" s="7">
        <v>0.41666666666666669</v>
      </c>
      <c r="W1018" s="6">
        <v>44602</v>
      </c>
      <c r="X1018" s="7">
        <v>0.41666666666666669</v>
      </c>
      <c r="Y1018" s="1" t="s">
        <v>4860</v>
      </c>
      <c r="Z1018" s="5">
        <v>17</v>
      </c>
      <c r="AA1018" s="1" t="s">
        <v>3403</v>
      </c>
      <c r="AB1018" s="1"/>
      <c r="AC1018" s="1"/>
      <c r="AD1018" s="1"/>
      <c r="AE1018" s="1" t="s">
        <v>3765</v>
      </c>
      <c r="AF1018" s="1" t="s">
        <v>9</v>
      </c>
      <c r="AG1018" s="4">
        <v>2</v>
      </c>
      <c r="AH1018" s="6">
        <v>44613</v>
      </c>
      <c r="AI1018" s="6">
        <v>44620</v>
      </c>
    </row>
    <row r="1019" spans="1:35" x14ac:dyDescent="0.3">
      <c r="A1019" s="1" t="s">
        <v>1425</v>
      </c>
      <c r="B1019" s="2" t="str">
        <f>HYPERLINK("https://my.zakupki.prom.ua/remote/dispatcher/state_purchase_view/34679390")</f>
        <v>https://my.zakupki.prom.ua/remote/dispatcher/state_purchase_view/34679390</v>
      </c>
      <c r="C1019" s="1" t="s">
        <v>2329</v>
      </c>
      <c r="D1019" s="1" t="s">
        <v>1263</v>
      </c>
      <c r="E1019" s="4">
        <v>18798</v>
      </c>
      <c r="F1019" s="5">
        <v>322.64999999999998</v>
      </c>
      <c r="G1019" s="1" t="s">
        <v>4940</v>
      </c>
      <c r="H1019" s="1" t="s">
        <v>986</v>
      </c>
      <c r="I1019" s="1" t="s">
        <v>2730</v>
      </c>
      <c r="J1019" s="5">
        <v>6065227.9800000004</v>
      </c>
      <c r="K1019" s="1" t="s">
        <v>3394</v>
      </c>
      <c r="L1019" s="5">
        <v>30326.13</v>
      </c>
      <c r="M1019" s="1" t="s">
        <v>2308</v>
      </c>
      <c r="N1019" s="1" t="s">
        <v>3983</v>
      </c>
      <c r="O1019" s="1" t="s">
        <v>2521</v>
      </c>
      <c r="P1019" s="1" t="s">
        <v>2516</v>
      </c>
      <c r="Q1019" s="1" t="s">
        <v>4911</v>
      </c>
      <c r="R1019" s="1" t="s">
        <v>4081</v>
      </c>
      <c r="S1019" s="1" t="s">
        <v>4971</v>
      </c>
      <c r="T1019" s="6">
        <v>44593</v>
      </c>
      <c r="U1019" s="6">
        <v>44593</v>
      </c>
      <c r="V1019" s="7">
        <v>0.4563008291666667</v>
      </c>
      <c r="W1019" s="6">
        <v>44624</v>
      </c>
      <c r="X1019" s="7">
        <v>0</v>
      </c>
      <c r="Y1019" s="8">
        <v>44659.517094907409</v>
      </c>
      <c r="Z1019" s="5">
        <v>3400</v>
      </c>
      <c r="AA1019" s="1" t="s">
        <v>3403</v>
      </c>
      <c r="AB1019" s="1"/>
      <c r="AC1019" s="1"/>
      <c r="AD1019" s="1"/>
      <c r="AE1019" s="1" t="s">
        <v>3754</v>
      </c>
      <c r="AF1019" s="1" t="s">
        <v>9</v>
      </c>
      <c r="AG1019" s="4">
        <v>28</v>
      </c>
      <c r="AH1019" s="1"/>
      <c r="AI1019" s="6">
        <v>44926</v>
      </c>
    </row>
    <row r="1020" spans="1:35" x14ac:dyDescent="0.3">
      <c r="A1020" s="1" t="s">
        <v>1455</v>
      </c>
      <c r="B1020" s="2" t="str">
        <f>HYPERLINK("https://my.zakupki.prom.ua/remote/dispatcher/state_purchase_view/34679386")</f>
        <v>https://my.zakupki.prom.ua/remote/dispatcher/state_purchase_view/34679386</v>
      </c>
      <c r="C1020" s="1" t="s">
        <v>3660</v>
      </c>
      <c r="D1020" s="1" t="s">
        <v>863</v>
      </c>
      <c r="E1020" s="4">
        <v>40</v>
      </c>
      <c r="F1020" s="5">
        <v>3682.5</v>
      </c>
      <c r="G1020" s="1" t="s">
        <v>4991</v>
      </c>
      <c r="H1020" s="1" t="s">
        <v>344</v>
      </c>
      <c r="I1020" s="1" t="s">
        <v>3295</v>
      </c>
      <c r="J1020" s="5">
        <v>147300</v>
      </c>
      <c r="K1020" s="1" t="s">
        <v>3394</v>
      </c>
      <c r="L1020" s="5">
        <v>1000</v>
      </c>
      <c r="M1020" s="1" t="s">
        <v>2308</v>
      </c>
      <c r="N1020" s="1" t="s">
        <v>3983</v>
      </c>
      <c r="O1020" s="1" t="s">
        <v>2521</v>
      </c>
      <c r="P1020" s="1" t="s">
        <v>3956</v>
      </c>
      <c r="Q1020" s="1" t="s">
        <v>2761</v>
      </c>
      <c r="R1020" s="1" t="s">
        <v>4673</v>
      </c>
      <c r="S1020" s="1" t="s">
        <v>4937</v>
      </c>
      <c r="T1020" s="6">
        <v>44593</v>
      </c>
      <c r="U1020" s="6">
        <v>44599</v>
      </c>
      <c r="V1020" s="7">
        <v>0</v>
      </c>
      <c r="W1020" s="6">
        <v>44602</v>
      </c>
      <c r="X1020" s="7">
        <v>0</v>
      </c>
      <c r="Y1020" s="1" t="s">
        <v>4860</v>
      </c>
      <c r="Z1020" s="5">
        <v>340</v>
      </c>
      <c r="AA1020" s="1" t="s">
        <v>3403</v>
      </c>
      <c r="AB1020" s="1"/>
      <c r="AC1020" s="1"/>
      <c r="AD1020" s="1"/>
      <c r="AE1020" s="1" t="s">
        <v>3774</v>
      </c>
      <c r="AF1020" s="1" t="s">
        <v>9</v>
      </c>
      <c r="AG1020" s="4">
        <v>1</v>
      </c>
      <c r="AH1020" s="1"/>
      <c r="AI1020" s="6">
        <v>44645</v>
      </c>
    </row>
    <row r="1021" spans="1:35" x14ac:dyDescent="0.3">
      <c r="A1021" s="1" t="s">
        <v>1424</v>
      </c>
      <c r="B1021" s="2" t="str">
        <f>HYPERLINK("https://my.zakupki.prom.ua/remote/dispatcher/state_purchase_view/34679389")</f>
        <v>https://my.zakupki.prom.ua/remote/dispatcher/state_purchase_view/34679389</v>
      </c>
      <c r="C1021" s="1" t="s">
        <v>3026</v>
      </c>
      <c r="D1021" s="1" t="s">
        <v>517</v>
      </c>
      <c r="E1021" s="4">
        <v>500</v>
      </c>
      <c r="F1021" s="5">
        <v>115</v>
      </c>
      <c r="G1021" s="1" t="s">
        <v>4989</v>
      </c>
      <c r="H1021" s="1" t="s">
        <v>367</v>
      </c>
      <c r="I1021" s="1" t="s">
        <v>2523</v>
      </c>
      <c r="J1021" s="5">
        <v>57500</v>
      </c>
      <c r="K1021" s="1" t="s">
        <v>3394</v>
      </c>
      <c r="L1021" s="5">
        <v>575</v>
      </c>
      <c r="M1021" s="1" t="s">
        <v>2308</v>
      </c>
      <c r="N1021" s="1" t="s">
        <v>3983</v>
      </c>
      <c r="O1021" s="1" t="s">
        <v>2521</v>
      </c>
      <c r="P1021" s="1" t="s">
        <v>2515</v>
      </c>
      <c r="Q1021" s="1" t="s">
        <v>3878</v>
      </c>
      <c r="R1021" s="1" t="s">
        <v>4082</v>
      </c>
      <c r="S1021" s="1" t="s">
        <v>4971</v>
      </c>
      <c r="T1021" s="6">
        <v>44593</v>
      </c>
      <c r="U1021" s="6">
        <v>44593</v>
      </c>
      <c r="V1021" s="7">
        <v>0.45619120453703704</v>
      </c>
      <c r="W1021" s="6">
        <v>44609</v>
      </c>
      <c r="X1021" s="7">
        <v>0.66666666666666663</v>
      </c>
      <c r="Y1021" s="8">
        <v>44610.638668981483</v>
      </c>
      <c r="Z1021" s="5">
        <v>340</v>
      </c>
      <c r="AA1021" s="1" t="s">
        <v>3403</v>
      </c>
      <c r="AB1021" s="1"/>
      <c r="AC1021" s="1"/>
      <c r="AD1021" s="1"/>
      <c r="AE1021" s="1" t="s">
        <v>3765</v>
      </c>
      <c r="AF1021" s="1" t="s">
        <v>9</v>
      </c>
      <c r="AG1021" s="4">
        <v>2</v>
      </c>
      <c r="AH1021" s="1"/>
      <c r="AI1021" s="6">
        <v>44778</v>
      </c>
    </row>
    <row r="1022" spans="1:35" x14ac:dyDescent="0.3">
      <c r="A1022" s="1" t="s">
        <v>1458</v>
      </c>
      <c r="B1022" s="2" t="str">
        <f>HYPERLINK("https://my.zakupki.prom.ua/remote/dispatcher/state_purchase_view/34679381")</f>
        <v>https://my.zakupki.prom.ua/remote/dispatcher/state_purchase_view/34679381</v>
      </c>
      <c r="C1022" s="1" t="s">
        <v>3515</v>
      </c>
      <c r="D1022" s="1" t="s">
        <v>1282</v>
      </c>
      <c r="E1022" s="4">
        <v>1</v>
      </c>
      <c r="F1022" s="5">
        <v>32780.29</v>
      </c>
      <c r="G1022" s="1" t="s">
        <v>4939</v>
      </c>
      <c r="H1022" s="1" t="s">
        <v>131</v>
      </c>
      <c r="I1022" s="1" t="s">
        <v>2967</v>
      </c>
      <c r="J1022" s="5">
        <v>32780.29</v>
      </c>
      <c r="K1022" s="1" t="s">
        <v>3394</v>
      </c>
      <c r="L1022" s="5">
        <v>163.9</v>
      </c>
      <c r="M1022" s="1" t="s">
        <v>2308</v>
      </c>
      <c r="N1022" s="1" t="s">
        <v>3983</v>
      </c>
      <c r="O1022" s="1" t="s">
        <v>2521</v>
      </c>
      <c r="P1022" s="1" t="s">
        <v>3956</v>
      </c>
      <c r="Q1022" s="1" t="s">
        <v>3504</v>
      </c>
      <c r="R1022" s="1" t="s">
        <v>4199</v>
      </c>
      <c r="S1022" s="1" t="s">
        <v>4937</v>
      </c>
      <c r="T1022" s="6">
        <v>44593</v>
      </c>
      <c r="U1022" s="6">
        <v>44597</v>
      </c>
      <c r="V1022" s="7">
        <v>0</v>
      </c>
      <c r="W1022" s="6">
        <v>44602</v>
      </c>
      <c r="X1022" s="7">
        <v>0</v>
      </c>
      <c r="Y1022" s="1" t="s">
        <v>4860</v>
      </c>
      <c r="Z1022" s="5">
        <v>119</v>
      </c>
      <c r="AA1022" s="1" t="s">
        <v>3403</v>
      </c>
      <c r="AB1022" s="1"/>
      <c r="AC1022" s="1"/>
      <c r="AD1022" s="1"/>
      <c r="AE1022" s="1" t="s">
        <v>3713</v>
      </c>
      <c r="AF1022" s="1" t="s">
        <v>9</v>
      </c>
      <c r="AG1022" s="1" t="s">
        <v>9</v>
      </c>
      <c r="AH1022" s="1"/>
      <c r="AI1022" s="6">
        <v>44926</v>
      </c>
    </row>
    <row r="1023" spans="1:35" x14ac:dyDescent="0.3">
      <c r="A1023" s="1" t="s">
        <v>1326</v>
      </c>
      <c r="B1023" s="2" t="str">
        <f>HYPERLINK("https://my.zakupki.prom.ua/remote/dispatcher/state_purchase_view/34679368")</f>
        <v>https://my.zakupki.prom.ua/remote/dispatcher/state_purchase_view/34679368</v>
      </c>
      <c r="C1023" s="1" t="s">
        <v>3871</v>
      </c>
      <c r="D1023" s="1" t="s">
        <v>1137</v>
      </c>
      <c r="E1023" s="4">
        <v>1</v>
      </c>
      <c r="F1023" s="5">
        <v>148750.03</v>
      </c>
      <c r="G1023" s="1" t="s">
        <v>4976</v>
      </c>
      <c r="H1023" s="1" t="s">
        <v>15</v>
      </c>
      <c r="I1023" s="1" t="s">
        <v>2340</v>
      </c>
      <c r="J1023" s="5">
        <v>148750.03</v>
      </c>
      <c r="K1023" s="1" t="s">
        <v>3394</v>
      </c>
      <c r="L1023" s="5">
        <v>743.75</v>
      </c>
      <c r="M1023" s="1" t="s">
        <v>2308</v>
      </c>
      <c r="N1023" s="1" t="s">
        <v>3983</v>
      </c>
      <c r="O1023" s="1" t="s">
        <v>2521</v>
      </c>
      <c r="P1023" s="1" t="s">
        <v>3956</v>
      </c>
      <c r="Q1023" s="1" t="s">
        <v>2528</v>
      </c>
      <c r="R1023" s="1" t="s">
        <v>4081</v>
      </c>
      <c r="S1023" s="1" t="s">
        <v>4937</v>
      </c>
      <c r="T1023" s="6">
        <v>44593</v>
      </c>
      <c r="U1023" s="6">
        <v>44599</v>
      </c>
      <c r="V1023" s="7">
        <v>0.375</v>
      </c>
      <c r="W1023" s="6">
        <v>44602</v>
      </c>
      <c r="X1023" s="7">
        <v>0.375</v>
      </c>
      <c r="Y1023" s="1" t="s">
        <v>4860</v>
      </c>
      <c r="Z1023" s="5">
        <v>340</v>
      </c>
      <c r="AA1023" s="1" t="s">
        <v>3403</v>
      </c>
      <c r="AB1023" s="1"/>
      <c r="AC1023" s="1"/>
      <c r="AD1023" s="1"/>
      <c r="AE1023" s="1" t="s">
        <v>3708</v>
      </c>
      <c r="AF1023" s="1" t="s">
        <v>9</v>
      </c>
      <c r="AG1023" s="4">
        <v>9</v>
      </c>
      <c r="AH1023" s="1"/>
      <c r="AI1023" s="6">
        <v>44771</v>
      </c>
    </row>
    <row r="1024" spans="1:35" x14ac:dyDescent="0.3">
      <c r="A1024" s="1" t="s">
        <v>1327</v>
      </c>
      <c r="B1024" s="2" t="str">
        <f>HYPERLINK("https://my.zakupki.prom.ua/remote/dispatcher/state_purchase_lot_view/740621")</f>
        <v>https://my.zakupki.prom.ua/remote/dispatcher/state_purchase_lot_view/740621</v>
      </c>
      <c r="C1024" s="1" t="s">
        <v>3239</v>
      </c>
      <c r="D1024" s="1" t="s">
        <v>1137</v>
      </c>
      <c r="E1024" s="4">
        <v>1</v>
      </c>
      <c r="F1024" s="5">
        <v>256743.29</v>
      </c>
      <c r="G1024" s="1" t="s">
        <v>4976</v>
      </c>
      <c r="H1024" s="1" t="s">
        <v>15</v>
      </c>
      <c r="I1024" s="1" t="s">
        <v>2340</v>
      </c>
      <c r="J1024" s="5">
        <v>906737.25</v>
      </c>
      <c r="K1024" s="5">
        <v>256743.29</v>
      </c>
      <c r="L1024" s="5">
        <v>1283.72</v>
      </c>
      <c r="M1024" s="1" t="s">
        <v>2308</v>
      </c>
      <c r="N1024" s="1" t="s">
        <v>3983</v>
      </c>
      <c r="O1024" s="1" t="s">
        <v>2521</v>
      </c>
      <c r="P1024" s="1" t="s">
        <v>3956</v>
      </c>
      <c r="Q1024" s="1" t="s">
        <v>2528</v>
      </c>
      <c r="R1024" s="1" t="s">
        <v>4081</v>
      </c>
      <c r="S1024" s="1" t="s">
        <v>4937</v>
      </c>
      <c r="T1024" s="6">
        <v>44593</v>
      </c>
      <c r="U1024" s="6">
        <v>44599</v>
      </c>
      <c r="V1024" s="7">
        <v>0.375</v>
      </c>
      <c r="W1024" s="6">
        <v>44602</v>
      </c>
      <c r="X1024" s="7">
        <v>0.375</v>
      </c>
      <c r="Y1024" s="1" t="s">
        <v>4860</v>
      </c>
      <c r="Z1024" s="5">
        <v>510</v>
      </c>
      <c r="AA1024" s="1" t="s">
        <v>3403</v>
      </c>
      <c r="AB1024" s="1"/>
      <c r="AC1024" s="1"/>
      <c r="AD1024" s="1"/>
      <c r="AE1024" s="1" t="s">
        <v>3708</v>
      </c>
      <c r="AF1024" s="1" t="s">
        <v>9</v>
      </c>
      <c r="AG1024" s="4">
        <v>9</v>
      </c>
      <c r="AH1024" s="1"/>
      <c r="AI1024" s="6">
        <v>44804</v>
      </c>
    </row>
    <row r="1025" spans="1:35" x14ac:dyDescent="0.3">
      <c r="A1025" s="1" t="s">
        <v>1327</v>
      </c>
      <c r="B1025" s="2" t="str">
        <f>HYPERLINK("https://my.zakupki.prom.ua/remote/dispatcher/state_purchase_lot_view/740622")</f>
        <v>https://my.zakupki.prom.ua/remote/dispatcher/state_purchase_lot_view/740622</v>
      </c>
      <c r="C1025" s="1" t="s">
        <v>3240</v>
      </c>
      <c r="D1025" s="1" t="s">
        <v>1137</v>
      </c>
      <c r="E1025" s="4">
        <v>1</v>
      </c>
      <c r="F1025" s="5">
        <v>328066.3</v>
      </c>
      <c r="G1025" s="1" t="s">
        <v>4976</v>
      </c>
      <c r="H1025" s="1" t="s">
        <v>15</v>
      </c>
      <c r="I1025" s="1" t="s">
        <v>2340</v>
      </c>
      <c r="J1025" s="5">
        <v>906737.25</v>
      </c>
      <c r="K1025" s="5">
        <v>328066.3</v>
      </c>
      <c r="L1025" s="5">
        <v>1640.34</v>
      </c>
      <c r="M1025" s="1" t="s">
        <v>2308</v>
      </c>
      <c r="N1025" s="1" t="s">
        <v>3983</v>
      </c>
      <c r="O1025" s="1" t="s">
        <v>2521</v>
      </c>
      <c r="P1025" s="1" t="s">
        <v>3956</v>
      </c>
      <c r="Q1025" s="1" t="s">
        <v>2528</v>
      </c>
      <c r="R1025" s="1" t="s">
        <v>4081</v>
      </c>
      <c r="S1025" s="1" t="s">
        <v>4937</v>
      </c>
      <c r="T1025" s="6">
        <v>44593</v>
      </c>
      <c r="U1025" s="6">
        <v>44599</v>
      </c>
      <c r="V1025" s="7">
        <v>0.375</v>
      </c>
      <c r="W1025" s="6">
        <v>44602</v>
      </c>
      <c r="X1025" s="7">
        <v>0.375</v>
      </c>
      <c r="Y1025" s="1" t="s">
        <v>4860</v>
      </c>
      <c r="Z1025" s="5">
        <v>510</v>
      </c>
      <c r="AA1025" s="1" t="s">
        <v>3403</v>
      </c>
      <c r="AB1025" s="1"/>
      <c r="AC1025" s="1"/>
      <c r="AD1025" s="1"/>
      <c r="AE1025" s="1" t="s">
        <v>3708</v>
      </c>
      <c r="AF1025" s="1" t="s">
        <v>9</v>
      </c>
      <c r="AG1025" s="4">
        <v>9</v>
      </c>
      <c r="AH1025" s="1"/>
      <c r="AI1025" s="6">
        <v>44804</v>
      </c>
    </row>
    <row r="1026" spans="1:35" x14ac:dyDescent="0.3">
      <c r="A1026" s="1" t="s">
        <v>1327</v>
      </c>
      <c r="B1026" s="2" t="str">
        <f>HYPERLINK("https://my.zakupki.prom.ua/remote/dispatcher/state_purchase_lot_view/740623")</f>
        <v>https://my.zakupki.prom.ua/remote/dispatcher/state_purchase_lot_view/740623</v>
      </c>
      <c r="C1026" s="1" t="s">
        <v>3241</v>
      </c>
      <c r="D1026" s="1" t="s">
        <v>1137</v>
      </c>
      <c r="E1026" s="4">
        <v>1</v>
      </c>
      <c r="F1026" s="5">
        <v>321927.65999999997</v>
      </c>
      <c r="G1026" s="1" t="s">
        <v>4976</v>
      </c>
      <c r="H1026" s="1" t="s">
        <v>15</v>
      </c>
      <c r="I1026" s="1" t="s">
        <v>2340</v>
      </c>
      <c r="J1026" s="5">
        <v>906737.25</v>
      </c>
      <c r="K1026" s="5">
        <v>321927.65999999997</v>
      </c>
      <c r="L1026" s="5">
        <v>1609.64</v>
      </c>
      <c r="M1026" s="1" t="s">
        <v>2308</v>
      </c>
      <c r="N1026" s="1" t="s">
        <v>3983</v>
      </c>
      <c r="O1026" s="1" t="s">
        <v>2521</v>
      </c>
      <c r="P1026" s="1" t="s">
        <v>3956</v>
      </c>
      <c r="Q1026" s="1" t="s">
        <v>2528</v>
      </c>
      <c r="R1026" s="1" t="s">
        <v>4081</v>
      </c>
      <c r="S1026" s="1" t="s">
        <v>4937</v>
      </c>
      <c r="T1026" s="6">
        <v>44593</v>
      </c>
      <c r="U1026" s="6">
        <v>44599</v>
      </c>
      <c r="V1026" s="7">
        <v>0.375</v>
      </c>
      <c r="W1026" s="6">
        <v>44602</v>
      </c>
      <c r="X1026" s="7">
        <v>0.375</v>
      </c>
      <c r="Y1026" s="1" t="s">
        <v>4860</v>
      </c>
      <c r="Z1026" s="5">
        <v>510</v>
      </c>
      <c r="AA1026" s="1" t="s">
        <v>3403</v>
      </c>
      <c r="AB1026" s="1"/>
      <c r="AC1026" s="1"/>
      <c r="AD1026" s="1"/>
      <c r="AE1026" s="1" t="s">
        <v>3708</v>
      </c>
      <c r="AF1026" s="1" t="s">
        <v>9</v>
      </c>
      <c r="AG1026" s="4">
        <v>9</v>
      </c>
      <c r="AH1026" s="1"/>
      <c r="AI1026" s="6">
        <v>44804</v>
      </c>
    </row>
    <row r="1027" spans="1:35" x14ac:dyDescent="0.3">
      <c r="A1027" s="1" t="s">
        <v>1745</v>
      </c>
      <c r="B1027" s="2" t="str">
        <f>HYPERLINK("https://my.zakupki.prom.ua/remote/dispatcher/state_purchase_view/34679345")</f>
        <v>https://my.zakupki.prom.ua/remote/dispatcher/state_purchase_view/34679345</v>
      </c>
      <c r="C1027" s="1" t="s">
        <v>2615</v>
      </c>
      <c r="D1027" s="1" t="s">
        <v>441</v>
      </c>
      <c r="E1027" s="1" t="s">
        <v>4903</v>
      </c>
      <c r="F1027" s="1" t="s">
        <v>4903</v>
      </c>
      <c r="G1027" s="1" t="s">
        <v>4903</v>
      </c>
      <c r="H1027" s="1" t="s">
        <v>887</v>
      </c>
      <c r="I1027" s="1" t="s">
        <v>2966</v>
      </c>
      <c r="J1027" s="5">
        <v>300100</v>
      </c>
      <c r="K1027" s="1" t="s">
        <v>3394</v>
      </c>
      <c r="L1027" s="5">
        <v>3001</v>
      </c>
      <c r="M1027" s="1" t="s">
        <v>2308</v>
      </c>
      <c r="N1027" s="1" t="s">
        <v>3983</v>
      </c>
      <c r="O1027" s="1" t="s">
        <v>2521</v>
      </c>
      <c r="P1027" s="1" t="s">
        <v>2515</v>
      </c>
      <c r="Q1027" s="1" t="s">
        <v>2820</v>
      </c>
      <c r="R1027" s="1" t="s">
        <v>4691</v>
      </c>
      <c r="S1027" s="1" t="s">
        <v>4971</v>
      </c>
      <c r="T1027" s="6">
        <v>44593</v>
      </c>
      <c r="U1027" s="6">
        <v>44593</v>
      </c>
      <c r="V1027" s="7">
        <v>0.46268111749999996</v>
      </c>
      <c r="W1027" s="6">
        <v>44613</v>
      </c>
      <c r="X1027" s="7">
        <v>0.46111111111111114</v>
      </c>
      <c r="Y1027" s="8">
        <v>44614.64234953704</v>
      </c>
      <c r="Z1027" s="5">
        <v>510</v>
      </c>
      <c r="AA1027" s="1" t="s">
        <v>3403</v>
      </c>
      <c r="AB1027" s="1"/>
      <c r="AC1027" s="1"/>
      <c r="AD1027" s="1"/>
      <c r="AE1027" s="1" t="s">
        <v>3765</v>
      </c>
      <c r="AF1027" s="1" t="s">
        <v>9</v>
      </c>
      <c r="AG1027" s="1" t="s">
        <v>9</v>
      </c>
      <c r="AH1027" s="6">
        <v>44593</v>
      </c>
      <c r="AI1027" s="6">
        <v>44926</v>
      </c>
    </row>
    <row r="1028" spans="1:35" x14ac:dyDescent="0.3">
      <c r="A1028" s="1" t="s">
        <v>1444</v>
      </c>
      <c r="B1028" s="2" t="str">
        <f>HYPERLINK("https://my.zakupki.prom.ua/remote/dispatcher/state_purchase_lot_view/740619")</f>
        <v>https://my.zakupki.prom.ua/remote/dispatcher/state_purchase_lot_view/740619</v>
      </c>
      <c r="C1028" s="1" t="s">
        <v>3258</v>
      </c>
      <c r="D1028" s="1" t="s">
        <v>759</v>
      </c>
      <c r="E1028" s="4">
        <v>2</v>
      </c>
      <c r="F1028" s="5">
        <v>52323</v>
      </c>
      <c r="G1028" s="1" t="s">
        <v>4991</v>
      </c>
      <c r="H1028" s="1" t="s">
        <v>546</v>
      </c>
      <c r="I1028" s="1" t="s">
        <v>2865</v>
      </c>
      <c r="J1028" s="5">
        <v>198976</v>
      </c>
      <c r="K1028" s="5">
        <v>104646</v>
      </c>
      <c r="L1028" s="5">
        <v>523.23</v>
      </c>
      <c r="M1028" s="1" t="s">
        <v>2308</v>
      </c>
      <c r="N1028" s="1" t="s">
        <v>3983</v>
      </c>
      <c r="O1028" s="1" t="s">
        <v>2521</v>
      </c>
      <c r="P1028" s="1" t="s">
        <v>3956</v>
      </c>
      <c r="Q1028" s="1" t="s">
        <v>2334</v>
      </c>
      <c r="R1028" s="1" t="s">
        <v>4089</v>
      </c>
      <c r="S1028" s="1" t="s">
        <v>4937</v>
      </c>
      <c r="T1028" s="6">
        <v>44593</v>
      </c>
      <c r="U1028" s="6">
        <v>44599</v>
      </c>
      <c r="V1028" s="7">
        <v>0</v>
      </c>
      <c r="W1028" s="6">
        <v>44602</v>
      </c>
      <c r="X1028" s="7">
        <v>0</v>
      </c>
      <c r="Y1028" s="1" t="s">
        <v>4860</v>
      </c>
      <c r="Z1028" s="5">
        <v>340</v>
      </c>
      <c r="AA1028" s="1" t="s">
        <v>3403</v>
      </c>
      <c r="AB1028" s="1"/>
      <c r="AC1028" s="1"/>
      <c r="AD1028" s="1"/>
      <c r="AE1028" s="1" t="s">
        <v>3788</v>
      </c>
      <c r="AF1028" s="1" t="s">
        <v>9</v>
      </c>
      <c r="AG1028" s="4">
        <v>1</v>
      </c>
      <c r="AH1028" s="1"/>
      <c r="AI1028" s="6">
        <v>44926</v>
      </c>
    </row>
    <row r="1029" spans="1:35" x14ac:dyDescent="0.3">
      <c r="A1029" s="1" t="s">
        <v>1444</v>
      </c>
      <c r="B1029" s="2" t="str">
        <f>HYPERLINK("https://my.zakupki.prom.ua/remote/dispatcher/state_purchase_lot_view/740620")</f>
        <v>https://my.zakupki.prom.ua/remote/dispatcher/state_purchase_lot_view/740620</v>
      </c>
      <c r="C1029" s="1" t="s">
        <v>3259</v>
      </c>
      <c r="D1029" s="1" t="s">
        <v>761</v>
      </c>
      <c r="E1029" s="1" t="s">
        <v>4903</v>
      </c>
      <c r="F1029" s="1" t="s">
        <v>4903</v>
      </c>
      <c r="G1029" s="1" t="s">
        <v>4903</v>
      </c>
      <c r="H1029" s="1" t="s">
        <v>546</v>
      </c>
      <c r="I1029" s="1" t="s">
        <v>2865</v>
      </c>
      <c r="J1029" s="5">
        <v>198976</v>
      </c>
      <c r="K1029" s="5">
        <v>94330</v>
      </c>
      <c r="L1029" s="5">
        <v>471.65</v>
      </c>
      <c r="M1029" s="1" t="s">
        <v>2308</v>
      </c>
      <c r="N1029" s="1" t="s">
        <v>3983</v>
      </c>
      <c r="O1029" s="1" t="s">
        <v>2521</v>
      </c>
      <c r="P1029" s="1" t="s">
        <v>3956</v>
      </c>
      <c r="Q1029" s="1" t="s">
        <v>2334</v>
      </c>
      <c r="R1029" s="1" t="s">
        <v>4089</v>
      </c>
      <c r="S1029" s="1" t="s">
        <v>4937</v>
      </c>
      <c r="T1029" s="6">
        <v>44593</v>
      </c>
      <c r="U1029" s="6">
        <v>44599</v>
      </c>
      <c r="V1029" s="7">
        <v>0</v>
      </c>
      <c r="W1029" s="6">
        <v>44602</v>
      </c>
      <c r="X1029" s="7">
        <v>0</v>
      </c>
      <c r="Y1029" s="1" t="s">
        <v>4860</v>
      </c>
      <c r="Z1029" s="5">
        <v>340</v>
      </c>
      <c r="AA1029" s="1" t="s">
        <v>3403</v>
      </c>
      <c r="AB1029" s="1"/>
      <c r="AC1029" s="1"/>
      <c r="AD1029" s="1"/>
      <c r="AE1029" s="1" t="s">
        <v>3788</v>
      </c>
      <c r="AF1029" s="1" t="s">
        <v>9</v>
      </c>
      <c r="AG1029" s="4">
        <v>1</v>
      </c>
      <c r="AH1029" s="1"/>
      <c r="AI1029" s="6">
        <v>44926</v>
      </c>
    </row>
    <row r="1030" spans="1:35" x14ac:dyDescent="0.3">
      <c r="A1030" s="1" t="s">
        <v>1452</v>
      </c>
      <c r="B1030" s="2" t="str">
        <f>HYPERLINK("https://my.zakupki.prom.ua/remote/dispatcher/state_purchase_lot_view/740618")</f>
        <v>https://my.zakupki.prom.ua/remote/dispatcher/state_purchase_lot_view/740618</v>
      </c>
      <c r="C1030" s="1" t="s">
        <v>4895</v>
      </c>
      <c r="D1030" s="1" t="s">
        <v>1097</v>
      </c>
      <c r="E1030" s="1" t="s">
        <v>4903</v>
      </c>
      <c r="F1030" s="1" t="s">
        <v>4903</v>
      </c>
      <c r="G1030" s="1" t="s">
        <v>4903</v>
      </c>
      <c r="H1030" s="1" t="s">
        <v>987</v>
      </c>
      <c r="I1030" s="1" t="s">
        <v>3178</v>
      </c>
      <c r="J1030" s="5">
        <v>492762.12</v>
      </c>
      <c r="K1030" s="5">
        <v>492762.12</v>
      </c>
      <c r="L1030" s="5">
        <v>2463.81</v>
      </c>
      <c r="M1030" s="1" t="s">
        <v>2308</v>
      </c>
      <c r="N1030" s="1" t="s">
        <v>3983</v>
      </c>
      <c r="O1030" s="1" t="s">
        <v>2521</v>
      </c>
      <c r="P1030" s="1" t="s">
        <v>2515</v>
      </c>
      <c r="Q1030" s="1" t="s">
        <v>2820</v>
      </c>
      <c r="R1030" s="1" t="s">
        <v>4081</v>
      </c>
      <c r="S1030" s="1" t="s">
        <v>4971</v>
      </c>
      <c r="T1030" s="6">
        <v>44593</v>
      </c>
      <c r="U1030" s="6">
        <v>44593</v>
      </c>
      <c r="V1030" s="7">
        <v>0.46095959278935189</v>
      </c>
      <c r="W1030" s="6">
        <v>44609</v>
      </c>
      <c r="X1030" s="7">
        <v>0.5</v>
      </c>
      <c r="Y1030" s="8">
        <v>44610.476666666669</v>
      </c>
      <c r="Z1030" s="5">
        <v>510</v>
      </c>
      <c r="AA1030" s="1" t="s">
        <v>3403</v>
      </c>
      <c r="AB1030" s="1"/>
      <c r="AC1030" s="1"/>
      <c r="AD1030" s="1"/>
      <c r="AE1030" s="1" t="s">
        <v>3806</v>
      </c>
      <c r="AF1030" s="1" t="s">
        <v>9</v>
      </c>
      <c r="AG1030" s="4">
        <v>5</v>
      </c>
      <c r="AH1030" s="1"/>
      <c r="AI1030" s="6">
        <v>44926</v>
      </c>
    </row>
    <row r="1031" spans="1:35" x14ac:dyDescent="0.3">
      <c r="A1031" s="1" t="s">
        <v>1713</v>
      </c>
      <c r="B1031" s="2" t="str">
        <f>HYPERLINK("https://my.zakupki.prom.ua/remote/dispatcher/state_purchase_view/34679327")</f>
        <v>https://my.zakupki.prom.ua/remote/dispatcher/state_purchase_view/34679327</v>
      </c>
      <c r="C1031" s="1" t="s">
        <v>3069</v>
      </c>
      <c r="D1031" s="1" t="s">
        <v>703</v>
      </c>
      <c r="E1031" s="4">
        <v>6</v>
      </c>
      <c r="F1031" s="5">
        <v>4743</v>
      </c>
      <c r="G1031" s="1" t="s">
        <v>4989</v>
      </c>
      <c r="H1031" s="1" t="s">
        <v>263</v>
      </c>
      <c r="I1031" s="1" t="s">
        <v>3191</v>
      </c>
      <c r="J1031" s="5">
        <v>28458</v>
      </c>
      <c r="K1031" s="1" t="s">
        <v>3394</v>
      </c>
      <c r="L1031" s="5">
        <v>142.29</v>
      </c>
      <c r="M1031" s="1" t="s">
        <v>2308</v>
      </c>
      <c r="N1031" s="1" t="s">
        <v>3983</v>
      </c>
      <c r="O1031" s="1" t="s">
        <v>2521</v>
      </c>
      <c r="P1031" s="1" t="s">
        <v>3956</v>
      </c>
      <c r="Q1031" s="1" t="s">
        <v>3035</v>
      </c>
      <c r="R1031" s="1" t="s">
        <v>4689</v>
      </c>
      <c r="S1031" s="1" t="s">
        <v>4937</v>
      </c>
      <c r="T1031" s="6">
        <v>44593</v>
      </c>
      <c r="U1031" s="6">
        <v>44599</v>
      </c>
      <c r="V1031" s="7">
        <v>0.4375</v>
      </c>
      <c r="W1031" s="6">
        <v>44603</v>
      </c>
      <c r="X1031" s="7">
        <v>0.45833333333333331</v>
      </c>
      <c r="Y1031" s="1" t="s">
        <v>4860</v>
      </c>
      <c r="Z1031" s="5">
        <v>119</v>
      </c>
      <c r="AA1031" s="1" t="s">
        <v>3403</v>
      </c>
      <c r="AB1031" s="1"/>
      <c r="AC1031" s="1"/>
      <c r="AD1031" s="1"/>
      <c r="AE1031" s="1" t="s">
        <v>3787</v>
      </c>
      <c r="AF1031" s="1" t="s">
        <v>9</v>
      </c>
      <c r="AG1031" s="4">
        <v>9</v>
      </c>
      <c r="AH1031" s="1"/>
      <c r="AI1031" s="6">
        <v>44926</v>
      </c>
    </row>
    <row r="1032" spans="1:35" x14ac:dyDescent="0.3">
      <c r="A1032" s="1" t="s">
        <v>1743</v>
      </c>
      <c r="B1032" s="2" t="str">
        <f>HYPERLINK("https://my.zakupki.prom.ua/remote/dispatcher/state_purchase_view/34679321")</f>
        <v>https://my.zakupki.prom.ua/remote/dispatcher/state_purchase_view/34679321</v>
      </c>
      <c r="C1032" s="1" t="s">
        <v>4941</v>
      </c>
      <c r="D1032" s="1" t="s">
        <v>1258</v>
      </c>
      <c r="E1032" s="4">
        <v>1</v>
      </c>
      <c r="F1032" s="5">
        <v>622380.03</v>
      </c>
      <c r="G1032" s="1" t="s">
        <v>4940</v>
      </c>
      <c r="H1032" s="1" t="s">
        <v>1009</v>
      </c>
      <c r="I1032" s="1" t="s">
        <v>4749</v>
      </c>
      <c r="J1032" s="5">
        <v>622380.03</v>
      </c>
      <c r="K1032" s="1" t="s">
        <v>3394</v>
      </c>
      <c r="L1032" s="5">
        <v>3111.9</v>
      </c>
      <c r="M1032" s="1" t="s">
        <v>2308</v>
      </c>
      <c r="N1032" s="1" t="s">
        <v>3983</v>
      </c>
      <c r="O1032" s="1" t="s">
        <v>2521</v>
      </c>
      <c r="P1032" s="1" t="s">
        <v>2515</v>
      </c>
      <c r="Q1032" s="1" t="s">
        <v>2761</v>
      </c>
      <c r="R1032" s="1" t="s">
        <v>4619</v>
      </c>
      <c r="S1032" s="1" t="s">
        <v>4971</v>
      </c>
      <c r="T1032" s="6">
        <v>44593</v>
      </c>
      <c r="U1032" s="6">
        <v>44593</v>
      </c>
      <c r="V1032" s="7">
        <v>0.46244394496527774</v>
      </c>
      <c r="W1032" s="6">
        <v>44609</v>
      </c>
      <c r="X1032" s="7">
        <v>0.625</v>
      </c>
      <c r="Y1032" s="8">
        <v>44610.574560185189</v>
      </c>
      <c r="Z1032" s="5">
        <v>510</v>
      </c>
      <c r="AA1032" s="1" t="s">
        <v>3403</v>
      </c>
      <c r="AB1032" s="1"/>
      <c r="AC1032" s="1"/>
      <c r="AD1032" s="1"/>
      <c r="AE1032" s="1" t="s">
        <v>3750</v>
      </c>
      <c r="AF1032" s="1" t="s">
        <v>9</v>
      </c>
      <c r="AG1032" s="4">
        <v>19</v>
      </c>
      <c r="AH1032" s="1"/>
      <c r="AI1032" s="6">
        <v>44926</v>
      </c>
    </row>
    <row r="1033" spans="1:35" x14ac:dyDescent="0.3">
      <c r="A1033" s="1" t="s">
        <v>1739</v>
      </c>
      <c r="B1033" s="2" t="str">
        <f>HYPERLINK("https://my.zakupki.prom.ua/remote/dispatcher/state_purchase_view/34679301")</f>
        <v>https://my.zakupki.prom.ua/remote/dispatcher/state_purchase_view/34679301</v>
      </c>
      <c r="C1033" s="1" t="s">
        <v>440</v>
      </c>
      <c r="D1033" s="1" t="s">
        <v>441</v>
      </c>
      <c r="E1033" s="1" t="s">
        <v>4903</v>
      </c>
      <c r="F1033" s="1" t="s">
        <v>4903</v>
      </c>
      <c r="G1033" s="1" t="s">
        <v>4903</v>
      </c>
      <c r="H1033" s="1" t="s">
        <v>832</v>
      </c>
      <c r="I1033" s="1" t="s">
        <v>2964</v>
      </c>
      <c r="J1033" s="5">
        <v>93300</v>
      </c>
      <c r="K1033" s="1" t="s">
        <v>3394</v>
      </c>
      <c r="L1033" s="5">
        <v>466.5</v>
      </c>
      <c r="M1033" s="1" t="s">
        <v>2308</v>
      </c>
      <c r="N1033" s="1" t="s">
        <v>3983</v>
      </c>
      <c r="O1033" s="1" t="s">
        <v>2521</v>
      </c>
      <c r="P1033" s="1" t="s">
        <v>2515</v>
      </c>
      <c r="Q1033" s="1" t="s">
        <v>2756</v>
      </c>
      <c r="R1033" s="1" t="s">
        <v>4563</v>
      </c>
      <c r="S1033" s="1" t="s">
        <v>4971</v>
      </c>
      <c r="T1033" s="6">
        <v>44593</v>
      </c>
      <c r="U1033" s="6">
        <v>44593</v>
      </c>
      <c r="V1033" s="7">
        <v>0.46213541768518518</v>
      </c>
      <c r="W1033" s="6">
        <v>44610</v>
      </c>
      <c r="X1033" s="7">
        <v>0.5</v>
      </c>
      <c r="Y1033" s="8">
        <v>44613.612280092595</v>
      </c>
      <c r="Z1033" s="5">
        <v>340</v>
      </c>
      <c r="AA1033" s="1" t="s">
        <v>3403</v>
      </c>
      <c r="AB1033" s="1"/>
      <c r="AC1033" s="1"/>
      <c r="AD1033" s="1"/>
      <c r="AE1033" s="1" t="s">
        <v>3779</v>
      </c>
      <c r="AF1033" s="1" t="s">
        <v>9</v>
      </c>
      <c r="AG1033" s="1" t="s">
        <v>9</v>
      </c>
      <c r="AH1033" s="1"/>
      <c r="AI1033" s="6">
        <v>44926</v>
      </c>
    </row>
    <row r="1034" spans="1:35" x14ac:dyDescent="0.3">
      <c r="A1034" s="1" t="s">
        <v>1737</v>
      </c>
      <c r="B1034" s="2" t="str">
        <f>HYPERLINK("https://my.zakupki.prom.ua/remote/dispatcher/state_purchase_view/34679156")</f>
        <v>https://my.zakupki.prom.ua/remote/dispatcher/state_purchase_view/34679156</v>
      </c>
      <c r="C1034" s="1" t="s">
        <v>3957</v>
      </c>
      <c r="D1034" s="1" t="s">
        <v>1101</v>
      </c>
      <c r="E1034" s="1" t="s">
        <v>4903</v>
      </c>
      <c r="F1034" s="1" t="s">
        <v>4903</v>
      </c>
      <c r="G1034" s="1" t="s">
        <v>4903</v>
      </c>
      <c r="H1034" s="1" t="s">
        <v>841</v>
      </c>
      <c r="I1034" s="1" t="s">
        <v>2924</v>
      </c>
      <c r="J1034" s="5">
        <v>360000</v>
      </c>
      <c r="K1034" s="1" t="s">
        <v>3394</v>
      </c>
      <c r="L1034" s="5">
        <v>1800</v>
      </c>
      <c r="M1034" s="1" t="s">
        <v>2308</v>
      </c>
      <c r="N1034" s="1" t="s">
        <v>3983</v>
      </c>
      <c r="O1034" s="1" t="s">
        <v>2521</v>
      </c>
      <c r="P1034" s="1" t="s">
        <v>3956</v>
      </c>
      <c r="Q1034" s="1" t="s">
        <v>3035</v>
      </c>
      <c r="R1034" s="1" t="s">
        <v>4514</v>
      </c>
      <c r="S1034" s="1" t="s">
        <v>4937</v>
      </c>
      <c r="T1034" s="6">
        <v>44593</v>
      </c>
      <c r="U1034" s="6">
        <v>44599</v>
      </c>
      <c r="V1034" s="7">
        <v>0.41666666666666669</v>
      </c>
      <c r="W1034" s="6">
        <v>44602</v>
      </c>
      <c r="X1034" s="7">
        <v>4.1666666666666664E-2</v>
      </c>
      <c r="Y1034" s="1" t="s">
        <v>4860</v>
      </c>
      <c r="Z1034" s="5">
        <v>510</v>
      </c>
      <c r="AA1034" s="1" t="s">
        <v>3403</v>
      </c>
      <c r="AB1034" s="1"/>
      <c r="AC1034" s="1"/>
      <c r="AD1034" s="1"/>
      <c r="AE1034" s="1" t="s">
        <v>3788</v>
      </c>
      <c r="AF1034" s="1" t="s">
        <v>9</v>
      </c>
      <c r="AG1034" s="4">
        <v>11</v>
      </c>
      <c r="AH1034" s="1"/>
      <c r="AI1034" s="6">
        <v>44957</v>
      </c>
    </row>
    <row r="1035" spans="1:35" x14ac:dyDescent="0.3">
      <c r="A1035" s="1" t="s">
        <v>1736</v>
      </c>
      <c r="B1035" s="2" t="str">
        <f>HYPERLINK("https://my.zakupki.prom.ua/remote/dispatcher/state_purchase_view/34679153")</f>
        <v>https://my.zakupki.prom.ua/remote/dispatcher/state_purchase_view/34679153</v>
      </c>
      <c r="C1035" s="1" t="s">
        <v>4858</v>
      </c>
      <c r="D1035" s="1" t="s">
        <v>373</v>
      </c>
      <c r="E1035" s="1" t="s">
        <v>4903</v>
      </c>
      <c r="F1035" s="1" t="s">
        <v>4903</v>
      </c>
      <c r="G1035" s="1" t="s">
        <v>4903</v>
      </c>
      <c r="H1035" s="1" t="s">
        <v>1066</v>
      </c>
      <c r="I1035" s="1" t="s">
        <v>2436</v>
      </c>
      <c r="J1035" s="5">
        <v>412000</v>
      </c>
      <c r="K1035" s="1" t="s">
        <v>3394</v>
      </c>
      <c r="L1035" s="5">
        <v>2060</v>
      </c>
      <c r="M1035" s="1" t="s">
        <v>2308</v>
      </c>
      <c r="N1035" s="1" t="s">
        <v>3983</v>
      </c>
      <c r="O1035" s="1" t="s">
        <v>2521</v>
      </c>
      <c r="P1035" s="1" t="s">
        <v>2515</v>
      </c>
      <c r="Q1035" s="1" t="s">
        <v>3504</v>
      </c>
      <c r="R1035" s="1" t="s">
        <v>4081</v>
      </c>
      <c r="S1035" s="1" t="s">
        <v>4971</v>
      </c>
      <c r="T1035" s="6">
        <v>44593</v>
      </c>
      <c r="U1035" s="6">
        <v>44593</v>
      </c>
      <c r="V1035" s="7">
        <v>0.46174111771990739</v>
      </c>
      <c r="W1035" s="6">
        <v>44609</v>
      </c>
      <c r="X1035" s="7">
        <v>0.70833333333333337</v>
      </c>
      <c r="Y1035" s="8">
        <v>44610.64472222222</v>
      </c>
      <c r="Z1035" s="5">
        <v>510</v>
      </c>
      <c r="AA1035" s="1" t="s">
        <v>3403</v>
      </c>
      <c r="AB1035" s="1"/>
      <c r="AC1035" s="1"/>
      <c r="AD1035" s="1"/>
      <c r="AE1035" s="1" t="s">
        <v>3765</v>
      </c>
      <c r="AF1035" s="1" t="s">
        <v>9</v>
      </c>
      <c r="AG1035" s="4">
        <v>8</v>
      </c>
      <c r="AH1035" s="1"/>
      <c r="AI1035" s="6">
        <v>44926</v>
      </c>
    </row>
    <row r="1036" spans="1:35" x14ac:dyDescent="0.3">
      <c r="A1036" s="1" t="s">
        <v>1730</v>
      </c>
      <c r="B1036" s="2" t="str">
        <f>HYPERLINK("https://my.zakupki.prom.ua/remote/dispatcher/state_purchase_view/34679124")</f>
        <v>https://my.zakupki.prom.ua/remote/dispatcher/state_purchase_view/34679124</v>
      </c>
      <c r="C1036" s="1" t="s">
        <v>2470</v>
      </c>
      <c r="D1036" s="1" t="s">
        <v>474</v>
      </c>
      <c r="E1036" s="4">
        <v>239</v>
      </c>
      <c r="F1036" s="5">
        <v>320.33</v>
      </c>
      <c r="G1036" s="1" t="s">
        <v>4901</v>
      </c>
      <c r="H1036" s="1" t="s">
        <v>317</v>
      </c>
      <c r="I1036" s="1" t="s">
        <v>3201</v>
      </c>
      <c r="J1036" s="5">
        <v>76560</v>
      </c>
      <c r="K1036" s="1" t="s">
        <v>3394</v>
      </c>
      <c r="L1036" s="5">
        <v>382.8</v>
      </c>
      <c r="M1036" s="1" t="s">
        <v>2308</v>
      </c>
      <c r="N1036" s="1" t="s">
        <v>3983</v>
      </c>
      <c r="O1036" s="1" t="s">
        <v>2521</v>
      </c>
      <c r="P1036" s="1" t="s">
        <v>3956</v>
      </c>
      <c r="Q1036" s="1" t="s">
        <v>3325</v>
      </c>
      <c r="R1036" s="1" t="s">
        <v>4056</v>
      </c>
      <c r="S1036" s="1" t="s">
        <v>4937</v>
      </c>
      <c r="T1036" s="6">
        <v>44593</v>
      </c>
      <c r="U1036" s="6">
        <v>44599</v>
      </c>
      <c r="V1036" s="7">
        <v>0.45694444444444443</v>
      </c>
      <c r="W1036" s="6">
        <v>44602</v>
      </c>
      <c r="X1036" s="7">
        <v>0.45694444444444443</v>
      </c>
      <c r="Y1036" s="1" t="s">
        <v>4860</v>
      </c>
      <c r="Z1036" s="5">
        <v>340</v>
      </c>
      <c r="AA1036" s="1" t="s">
        <v>3403</v>
      </c>
      <c r="AB1036" s="1"/>
      <c r="AC1036" s="1"/>
      <c r="AD1036" s="1"/>
      <c r="AE1036" s="1" t="s">
        <v>3772</v>
      </c>
      <c r="AF1036" s="1" t="s">
        <v>9</v>
      </c>
      <c r="AG1036" s="1" t="s">
        <v>9</v>
      </c>
      <c r="AH1036" s="6">
        <v>44613</v>
      </c>
      <c r="AI1036" s="6">
        <v>44926</v>
      </c>
    </row>
    <row r="1037" spans="1:35" x14ac:dyDescent="0.3">
      <c r="A1037" s="1" t="s">
        <v>1729</v>
      </c>
      <c r="B1037" s="2" t="str">
        <f>HYPERLINK("https://my.zakupki.prom.ua/remote/dispatcher/state_purchase_view/34615780")</f>
        <v>https://my.zakupki.prom.ua/remote/dispatcher/state_purchase_view/34615780</v>
      </c>
      <c r="C1037" s="1" t="s">
        <v>3963</v>
      </c>
      <c r="D1037" s="1" t="s">
        <v>762</v>
      </c>
      <c r="E1037" s="1" t="s">
        <v>4903</v>
      </c>
      <c r="F1037" s="1" t="s">
        <v>4903</v>
      </c>
      <c r="G1037" s="1" t="s">
        <v>4903</v>
      </c>
      <c r="H1037" s="1" t="s">
        <v>51</v>
      </c>
      <c r="I1037" s="1" t="s">
        <v>3141</v>
      </c>
      <c r="J1037" s="5">
        <v>1779863</v>
      </c>
      <c r="K1037" s="1" t="s">
        <v>3394</v>
      </c>
      <c r="L1037" s="5">
        <v>8899.32</v>
      </c>
      <c r="M1037" s="1" t="s">
        <v>2308</v>
      </c>
      <c r="N1037" s="1" t="s">
        <v>3983</v>
      </c>
      <c r="O1037" s="1" t="s">
        <v>2521</v>
      </c>
      <c r="P1037" s="1" t="s">
        <v>2515</v>
      </c>
      <c r="Q1037" s="1" t="s">
        <v>4798</v>
      </c>
      <c r="R1037" s="1" t="s">
        <v>4469</v>
      </c>
      <c r="S1037" s="1" t="s">
        <v>4971</v>
      </c>
      <c r="T1037" s="6">
        <v>44593</v>
      </c>
      <c r="U1037" s="6">
        <v>44593</v>
      </c>
      <c r="V1037" s="7">
        <v>0.46103134456018519</v>
      </c>
      <c r="W1037" s="6">
        <v>44610</v>
      </c>
      <c r="X1037" s="7">
        <v>0.41666666666666669</v>
      </c>
      <c r="Y1037" s="8">
        <v>44613.643773148149</v>
      </c>
      <c r="Z1037" s="5">
        <v>1700</v>
      </c>
      <c r="AA1037" s="1" t="s">
        <v>3403</v>
      </c>
      <c r="AB1037" s="1"/>
      <c r="AC1037" s="1"/>
      <c r="AD1037" s="1"/>
      <c r="AE1037" s="1" t="s">
        <v>3788</v>
      </c>
      <c r="AF1037" s="1" t="s">
        <v>9</v>
      </c>
      <c r="AG1037" s="4">
        <v>1</v>
      </c>
      <c r="AH1037" s="1"/>
      <c r="AI1037" s="6">
        <v>44926</v>
      </c>
    </row>
    <row r="1038" spans="1:35" x14ac:dyDescent="0.3">
      <c r="A1038" s="1" t="s">
        <v>1725</v>
      </c>
      <c r="B1038" s="2" t="str">
        <f>HYPERLINK("https://my.zakupki.prom.ua/remote/dispatcher/state_purchase_view/34679066")</f>
        <v>https://my.zakupki.prom.ua/remote/dispatcher/state_purchase_view/34679066</v>
      </c>
      <c r="C1038" s="1" t="s">
        <v>2408</v>
      </c>
      <c r="D1038" s="1" t="s">
        <v>373</v>
      </c>
      <c r="E1038" s="1" t="s">
        <v>4903</v>
      </c>
      <c r="F1038" s="1" t="s">
        <v>4903</v>
      </c>
      <c r="G1038" s="1" t="s">
        <v>4903</v>
      </c>
      <c r="H1038" s="1" t="s">
        <v>280</v>
      </c>
      <c r="I1038" s="1" t="s">
        <v>3007</v>
      </c>
      <c r="J1038" s="5">
        <v>1041100</v>
      </c>
      <c r="K1038" s="1" t="s">
        <v>3394</v>
      </c>
      <c r="L1038" s="5">
        <v>5205.5</v>
      </c>
      <c r="M1038" s="1" t="s">
        <v>2308</v>
      </c>
      <c r="N1038" s="1" t="s">
        <v>3983</v>
      </c>
      <c r="O1038" s="1" t="s">
        <v>2521</v>
      </c>
      <c r="P1038" s="1" t="s">
        <v>2515</v>
      </c>
      <c r="Q1038" s="1" t="s">
        <v>3035</v>
      </c>
      <c r="R1038" s="1" t="s">
        <v>4269</v>
      </c>
      <c r="S1038" s="1" t="s">
        <v>4971</v>
      </c>
      <c r="T1038" s="6">
        <v>44593</v>
      </c>
      <c r="U1038" s="6">
        <v>44593</v>
      </c>
      <c r="V1038" s="7">
        <v>0.46054864165509257</v>
      </c>
      <c r="W1038" s="6">
        <v>44609</v>
      </c>
      <c r="X1038" s="7">
        <v>0.4548611111111111</v>
      </c>
      <c r="Y1038" s="8">
        <v>44610.624178240738</v>
      </c>
      <c r="Z1038" s="5">
        <v>1700</v>
      </c>
      <c r="AA1038" s="1" t="s">
        <v>3403</v>
      </c>
      <c r="AB1038" s="1"/>
      <c r="AC1038" s="1"/>
      <c r="AD1038" s="1"/>
      <c r="AE1038" s="1" t="s">
        <v>3768</v>
      </c>
      <c r="AF1038" s="1" t="s">
        <v>9</v>
      </c>
      <c r="AG1038" s="4">
        <v>3</v>
      </c>
      <c r="AH1038" s="1"/>
      <c r="AI1038" s="6">
        <v>44926</v>
      </c>
    </row>
    <row r="1039" spans="1:35" x14ac:dyDescent="0.3">
      <c r="A1039" s="1" t="s">
        <v>1724</v>
      </c>
      <c r="B1039" s="2" t="str">
        <f>HYPERLINK("https://my.zakupki.prom.ua/remote/dispatcher/state_purchase_view/34679064")</f>
        <v>https://my.zakupki.prom.ua/remote/dispatcher/state_purchase_view/34679064</v>
      </c>
      <c r="C1039" s="1" t="s">
        <v>3297</v>
      </c>
      <c r="D1039" s="1" t="s">
        <v>764</v>
      </c>
      <c r="E1039" s="4">
        <v>60000</v>
      </c>
      <c r="F1039" s="5">
        <v>0.83</v>
      </c>
      <c r="G1039" s="1" t="s">
        <v>4991</v>
      </c>
      <c r="H1039" s="1" t="s">
        <v>119</v>
      </c>
      <c r="I1039" s="1" t="s">
        <v>3152</v>
      </c>
      <c r="J1039" s="5">
        <v>50000</v>
      </c>
      <c r="K1039" s="1" t="s">
        <v>3394</v>
      </c>
      <c r="L1039" s="5">
        <v>250</v>
      </c>
      <c r="M1039" s="1" t="s">
        <v>2308</v>
      </c>
      <c r="N1039" s="1" t="s">
        <v>3983</v>
      </c>
      <c r="O1039" s="1" t="s">
        <v>2521</v>
      </c>
      <c r="P1039" s="1" t="s">
        <v>3956</v>
      </c>
      <c r="Q1039" s="1" t="s">
        <v>4831</v>
      </c>
      <c r="R1039" s="1" t="s">
        <v>4567</v>
      </c>
      <c r="S1039" s="1" t="s">
        <v>4937</v>
      </c>
      <c r="T1039" s="6">
        <v>44593</v>
      </c>
      <c r="U1039" s="6">
        <v>44599</v>
      </c>
      <c r="V1039" s="7">
        <v>0.75</v>
      </c>
      <c r="W1039" s="6">
        <v>44603</v>
      </c>
      <c r="X1039" s="7">
        <v>0.375</v>
      </c>
      <c r="Y1039" s="1" t="s">
        <v>4860</v>
      </c>
      <c r="Z1039" s="5">
        <v>119</v>
      </c>
      <c r="AA1039" s="1" t="s">
        <v>3403</v>
      </c>
      <c r="AB1039" s="1"/>
      <c r="AC1039" s="1"/>
      <c r="AD1039" s="1"/>
      <c r="AE1039" s="1" t="s">
        <v>3774</v>
      </c>
      <c r="AF1039" s="1" t="s">
        <v>9</v>
      </c>
      <c r="AG1039" s="1" t="s">
        <v>9</v>
      </c>
      <c r="AH1039" s="1"/>
      <c r="AI1039" s="6">
        <v>44926</v>
      </c>
    </row>
    <row r="1040" spans="1:35" x14ac:dyDescent="0.3">
      <c r="A1040" s="1" t="s">
        <v>1723</v>
      </c>
      <c r="B1040" s="2" t="str">
        <f>HYPERLINK("https://my.zakupki.prom.ua/remote/dispatcher/state_purchase_view/34679061")</f>
        <v>https://my.zakupki.prom.ua/remote/dispatcher/state_purchase_view/34679061</v>
      </c>
      <c r="C1040" s="1" t="s">
        <v>374</v>
      </c>
      <c r="D1040" s="1" t="s">
        <v>373</v>
      </c>
      <c r="E1040" s="1" t="s">
        <v>4903</v>
      </c>
      <c r="F1040" s="1" t="s">
        <v>4903</v>
      </c>
      <c r="G1040" s="1" t="s">
        <v>4903</v>
      </c>
      <c r="H1040" s="1" t="s">
        <v>941</v>
      </c>
      <c r="I1040" s="1" t="s">
        <v>2942</v>
      </c>
      <c r="J1040" s="5">
        <v>856499</v>
      </c>
      <c r="K1040" s="1" t="s">
        <v>3394</v>
      </c>
      <c r="L1040" s="5">
        <v>4282.5</v>
      </c>
      <c r="M1040" s="1" t="s">
        <v>2308</v>
      </c>
      <c r="N1040" s="1" t="s">
        <v>3983</v>
      </c>
      <c r="O1040" s="1" t="s">
        <v>2521</v>
      </c>
      <c r="P1040" s="1" t="s">
        <v>2515</v>
      </c>
      <c r="Q1040" s="1" t="s">
        <v>2756</v>
      </c>
      <c r="R1040" s="1" t="s">
        <v>4258</v>
      </c>
      <c r="S1040" s="1" t="s">
        <v>4971</v>
      </c>
      <c r="T1040" s="6">
        <v>44593</v>
      </c>
      <c r="U1040" s="6">
        <v>44593</v>
      </c>
      <c r="V1040" s="7">
        <v>0.46049677363425923</v>
      </c>
      <c r="W1040" s="6">
        <v>44609</v>
      </c>
      <c r="X1040" s="7">
        <v>0.375</v>
      </c>
      <c r="Y1040" s="8">
        <v>44610.592303240737</v>
      </c>
      <c r="Z1040" s="5">
        <v>510</v>
      </c>
      <c r="AA1040" s="1" t="s">
        <v>3403</v>
      </c>
      <c r="AB1040" s="1"/>
      <c r="AC1040" s="1"/>
      <c r="AD1040" s="1"/>
      <c r="AE1040" s="1" t="s">
        <v>3714</v>
      </c>
      <c r="AF1040" s="1" t="s">
        <v>9</v>
      </c>
      <c r="AG1040" s="4">
        <v>1</v>
      </c>
      <c r="AH1040" s="1"/>
      <c r="AI1040" s="6">
        <v>44926</v>
      </c>
    </row>
    <row r="1041" spans="1:35" x14ac:dyDescent="0.3">
      <c r="A1041" s="1" t="s">
        <v>1722</v>
      </c>
      <c r="B1041" s="2" t="str">
        <f>HYPERLINK("https://my.zakupki.prom.ua/remote/dispatcher/state_purchase_view/34679054")</f>
        <v>https://my.zakupki.prom.ua/remote/dispatcher/state_purchase_view/34679054</v>
      </c>
      <c r="C1041" s="1" t="s">
        <v>3487</v>
      </c>
      <c r="D1041" s="1" t="s">
        <v>807</v>
      </c>
      <c r="E1041" s="1" t="s">
        <v>4903</v>
      </c>
      <c r="F1041" s="1" t="s">
        <v>4903</v>
      </c>
      <c r="G1041" s="1" t="s">
        <v>4903</v>
      </c>
      <c r="H1041" s="1" t="s">
        <v>56</v>
      </c>
      <c r="I1041" s="1" t="s">
        <v>2958</v>
      </c>
      <c r="J1041" s="5">
        <v>17900</v>
      </c>
      <c r="K1041" s="1" t="s">
        <v>3394</v>
      </c>
      <c r="L1041" s="5">
        <v>179</v>
      </c>
      <c r="M1041" s="1" t="s">
        <v>2308</v>
      </c>
      <c r="N1041" s="1" t="s">
        <v>3983</v>
      </c>
      <c r="O1041" s="1" t="s">
        <v>2521</v>
      </c>
      <c r="P1041" s="1" t="s">
        <v>2762</v>
      </c>
      <c r="Q1041" s="1" t="s">
        <v>2756</v>
      </c>
      <c r="R1041" s="1" t="s">
        <v>4174</v>
      </c>
      <c r="S1041" s="1" t="s">
        <v>4937</v>
      </c>
      <c r="T1041" s="6">
        <v>44593</v>
      </c>
      <c r="U1041" s="6">
        <v>44599</v>
      </c>
      <c r="V1041" s="7">
        <v>0.54166666666666663</v>
      </c>
      <c r="W1041" s="6">
        <v>44603</v>
      </c>
      <c r="X1041" s="7">
        <v>0.625</v>
      </c>
      <c r="Y1041" s="1" t="s">
        <v>4860</v>
      </c>
      <c r="Z1041" s="5">
        <v>17</v>
      </c>
      <c r="AA1041" s="1" t="s">
        <v>3403</v>
      </c>
      <c r="AB1041" s="1"/>
      <c r="AC1041" s="1"/>
      <c r="AD1041" s="1"/>
      <c r="AE1041" s="1" t="s">
        <v>3788</v>
      </c>
      <c r="AF1041" s="1" t="s">
        <v>9</v>
      </c>
      <c r="AG1041" s="1" t="s">
        <v>9</v>
      </c>
      <c r="AH1041" s="1"/>
      <c r="AI1041" s="6">
        <v>44926</v>
      </c>
    </row>
    <row r="1042" spans="1:35" x14ac:dyDescent="0.3">
      <c r="A1042" s="1" t="s">
        <v>1720</v>
      </c>
      <c r="B1042" s="2" t="str">
        <f>HYPERLINK("https://my.zakupki.prom.ua/remote/dispatcher/state_purchase_view/34679049")</f>
        <v>https://my.zakupki.prom.ua/remote/dispatcher/state_purchase_view/34679049</v>
      </c>
      <c r="C1042" s="1" t="s">
        <v>4886</v>
      </c>
      <c r="D1042" s="1" t="s">
        <v>213</v>
      </c>
      <c r="E1042" s="1" t="s">
        <v>4903</v>
      </c>
      <c r="F1042" s="1" t="s">
        <v>4903</v>
      </c>
      <c r="G1042" s="1" t="s">
        <v>4903</v>
      </c>
      <c r="H1042" s="1" t="s">
        <v>607</v>
      </c>
      <c r="I1042" s="1" t="s">
        <v>3204</v>
      </c>
      <c r="J1042" s="5">
        <v>85500</v>
      </c>
      <c r="K1042" s="1" t="s">
        <v>3394</v>
      </c>
      <c r="L1042" s="5">
        <v>427.5</v>
      </c>
      <c r="M1042" s="1" t="s">
        <v>2308</v>
      </c>
      <c r="N1042" s="1" t="s">
        <v>3983</v>
      </c>
      <c r="O1042" s="1" t="s">
        <v>2521</v>
      </c>
      <c r="P1042" s="1" t="s">
        <v>3956</v>
      </c>
      <c r="Q1042" s="1" t="s">
        <v>2756</v>
      </c>
      <c r="R1042" s="1" t="s">
        <v>4284</v>
      </c>
      <c r="S1042" s="1" t="s">
        <v>4937</v>
      </c>
      <c r="T1042" s="6">
        <v>44593</v>
      </c>
      <c r="U1042" s="6">
        <v>44599</v>
      </c>
      <c r="V1042" s="7">
        <v>0</v>
      </c>
      <c r="W1042" s="6">
        <v>44602</v>
      </c>
      <c r="X1042" s="7">
        <v>0</v>
      </c>
      <c r="Y1042" s="1" t="s">
        <v>4860</v>
      </c>
      <c r="Z1042" s="5">
        <v>340</v>
      </c>
      <c r="AA1042" s="1" t="s">
        <v>3403</v>
      </c>
      <c r="AB1042" s="1"/>
      <c r="AC1042" s="1"/>
      <c r="AD1042" s="1"/>
      <c r="AE1042" s="1" t="s">
        <v>3788</v>
      </c>
      <c r="AF1042" s="1" t="s">
        <v>9</v>
      </c>
      <c r="AG1042" s="1" t="s">
        <v>9</v>
      </c>
      <c r="AH1042" s="1"/>
      <c r="AI1042" s="6">
        <v>44926</v>
      </c>
    </row>
    <row r="1043" spans="1:35" x14ac:dyDescent="0.3">
      <c r="A1043" s="1" t="s">
        <v>1718</v>
      </c>
      <c r="B1043" s="2" t="str">
        <f>HYPERLINK("https://my.zakupki.prom.ua/remote/dispatcher/state_purchase_lot_view/740611")</f>
        <v>https://my.zakupki.prom.ua/remote/dispatcher/state_purchase_lot_view/740611</v>
      </c>
      <c r="C1043" s="1" t="s">
        <v>3948</v>
      </c>
      <c r="D1043" s="1" t="s">
        <v>511</v>
      </c>
      <c r="E1043" s="1" t="s">
        <v>4903</v>
      </c>
      <c r="F1043" s="1" t="s">
        <v>4903</v>
      </c>
      <c r="G1043" s="1" t="s">
        <v>4903</v>
      </c>
      <c r="H1043" s="1" t="s">
        <v>931</v>
      </c>
      <c r="I1043" s="1" t="s">
        <v>2946</v>
      </c>
      <c r="J1043" s="5">
        <v>3544000</v>
      </c>
      <c r="K1043" s="5">
        <v>400000</v>
      </c>
      <c r="L1043" s="5">
        <v>2000</v>
      </c>
      <c r="M1043" s="1" t="s">
        <v>2308</v>
      </c>
      <c r="N1043" s="1" t="s">
        <v>3983</v>
      </c>
      <c r="O1043" s="1" t="s">
        <v>2521</v>
      </c>
      <c r="P1043" s="1" t="s">
        <v>2515</v>
      </c>
      <c r="Q1043" s="1" t="s">
        <v>3504</v>
      </c>
      <c r="R1043" s="1" t="s">
        <v>4233</v>
      </c>
      <c r="S1043" s="1" t="s">
        <v>4971</v>
      </c>
      <c r="T1043" s="6">
        <v>44593</v>
      </c>
      <c r="U1043" s="6">
        <v>44593</v>
      </c>
      <c r="V1043" s="7">
        <v>0.46001624122685186</v>
      </c>
      <c r="W1043" s="6">
        <v>44609</v>
      </c>
      <c r="X1043" s="7">
        <v>0</v>
      </c>
      <c r="Y1043" s="8">
        <v>44609.61347222222</v>
      </c>
      <c r="Z1043" s="5">
        <v>510</v>
      </c>
      <c r="AA1043" s="1" t="s">
        <v>3403</v>
      </c>
      <c r="AB1043" s="1"/>
      <c r="AC1043" s="1"/>
      <c r="AD1043" s="1"/>
      <c r="AE1043" s="1" t="s">
        <v>3788</v>
      </c>
      <c r="AF1043" s="1" t="s">
        <v>9</v>
      </c>
      <c r="AG1043" s="4">
        <v>1</v>
      </c>
      <c r="AH1043" s="1"/>
      <c r="AI1043" s="6">
        <v>44926</v>
      </c>
    </row>
    <row r="1044" spans="1:35" x14ac:dyDescent="0.3">
      <c r="A1044" s="1" t="s">
        <v>1718</v>
      </c>
      <c r="B1044" s="2" t="str">
        <f>HYPERLINK("https://my.zakupki.prom.ua/remote/dispatcher/state_purchase_lot_view/740612")</f>
        <v>https://my.zakupki.prom.ua/remote/dispatcher/state_purchase_lot_view/740612</v>
      </c>
      <c r="C1044" s="1" t="s">
        <v>3942</v>
      </c>
      <c r="D1044" s="1" t="s">
        <v>511</v>
      </c>
      <c r="E1044" s="4">
        <v>186200</v>
      </c>
      <c r="F1044" s="5">
        <v>9.4</v>
      </c>
      <c r="G1044" s="1" t="s">
        <v>4874</v>
      </c>
      <c r="H1044" s="1" t="s">
        <v>931</v>
      </c>
      <c r="I1044" s="1" t="s">
        <v>2946</v>
      </c>
      <c r="J1044" s="5">
        <v>3544000</v>
      </c>
      <c r="K1044" s="5">
        <v>1751000</v>
      </c>
      <c r="L1044" s="5">
        <v>8755</v>
      </c>
      <c r="M1044" s="1" t="s">
        <v>2308</v>
      </c>
      <c r="N1044" s="1" t="s">
        <v>3983</v>
      </c>
      <c r="O1044" s="1" t="s">
        <v>2521</v>
      </c>
      <c r="P1044" s="1" t="s">
        <v>2515</v>
      </c>
      <c r="Q1044" s="1" t="s">
        <v>3504</v>
      </c>
      <c r="R1044" s="1" t="s">
        <v>4233</v>
      </c>
      <c r="S1044" s="1" t="s">
        <v>4971</v>
      </c>
      <c r="T1044" s="6">
        <v>44593</v>
      </c>
      <c r="U1044" s="6">
        <v>44593</v>
      </c>
      <c r="V1044" s="7">
        <v>0.46001624122685186</v>
      </c>
      <c r="W1044" s="6">
        <v>44609</v>
      </c>
      <c r="X1044" s="7">
        <v>0</v>
      </c>
      <c r="Y1044" s="8">
        <v>44609.529513888891</v>
      </c>
      <c r="Z1044" s="5">
        <v>1700</v>
      </c>
      <c r="AA1044" s="1" t="s">
        <v>3403</v>
      </c>
      <c r="AB1044" s="1"/>
      <c r="AC1044" s="1"/>
      <c r="AD1044" s="1"/>
      <c r="AE1044" s="1" t="s">
        <v>3788</v>
      </c>
      <c r="AF1044" s="1" t="s">
        <v>9</v>
      </c>
      <c r="AG1044" s="4">
        <v>1</v>
      </c>
      <c r="AH1044" s="1"/>
      <c r="AI1044" s="6">
        <v>44926</v>
      </c>
    </row>
    <row r="1045" spans="1:35" x14ac:dyDescent="0.3">
      <c r="A1045" s="1" t="s">
        <v>1718</v>
      </c>
      <c r="B1045" s="2" t="str">
        <f>HYPERLINK("https://my.zakupki.prom.ua/remote/dispatcher/state_purchase_lot_view/740613")</f>
        <v>https://my.zakupki.prom.ua/remote/dispatcher/state_purchase_lot_view/740613</v>
      </c>
      <c r="C1045" s="1" t="s">
        <v>3944</v>
      </c>
      <c r="D1045" s="1" t="s">
        <v>511</v>
      </c>
      <c r="E1045" s="4">
        <v>1460</v>
      </c>
      <c r="F1045" s="5">
        <v>489.73</v>
      </c>
      <c r="G1045" s="1" t="s">
        <v>4857</v>
      </c>
      <c r="H1045" s="1" t="s">
        <v>931</v>
      </c>
      <c r="I1045" s="1" t="s">
        <v>2946</v>
      </c>
      <c r="J1045" s="5">
        <v>3544000</v>
      </c>
      <c r="K1045" s="5">
        <v>715000</v>
      </c>
      <c r="L1045" s="5">
        <v>3575</v>
      </c>
      <c r="M1045" s="1" t="s">
        <v>2308</v>
      </c>
      <c r="N1045" s="1" t="s">
        <v>3983</v>
      </c>
      <c r="O1045" s="1" t="s">
        <v>2521</v>
      </c>
      <c r="P1045" s="1" t="s">
        <v>2515</v>
      </c>
      <c r="Q1045" s="1" t="s">
        <v>3504</v>
      </c>
      <c r="R1045" s="1" t="s">
        <v>4233</v>
      </c>
      <c r="S1045" s="1" t="s">
        <v>4971</v>
      </c>
      <c r="T1045" s="6">
        <v>44593</v>
      </c>
      <c r="U1045" s="6">
        <v>44593</v>
      </c>
      <c r="V1045" s="7">
        <v>0.46001624122685186</v>
      </c>
      <c r="W1045" s="6">
        <v>44609</v>
      </c>
      <c r="X1045" s="7">
        <v>0</v>
      </c>
      <c r="Y1045" s="8">
        <v>44609.549710648149</v>
      </c>
      <c r="Z1045" s="5">
        <v>510</v>
      </c>
      <c r="AA1045" s="1" t="s">
        <v>3403</v>
      </c>
      <c r="AB1045" s="1"/>
      <c r="AC1045" s="1"/>
      <c r="AD1045" s="1"/>
      <c r="AE1045" s="1" t="s">
        <v>3788</v>
      </c>
      <c r="AF1045" s="1" t="s">
        <v>9</v>
      </c>
      <c r="AG1045" s="4">
        <v>1</v>
      </c>
      <c r="AH1045" s="1"/>
      <c r="AI1045" s="6">
        <v>44926</v>
      </c>
    </row>
    <row r="1046" spans="1:35" x14ac:dyDescent="0.3">
      <c r="A1046" s="1" t="s">
        <v>1718</v>
      </c>
      <c r="B1046" s="2" t="str">
        <f>HYPERLINK("https://my.zakupki.prom.ua/remote/dispatcher/state_purchase_lot_view/740614")</f>
        <v>https://my.zakupki.prom.ua/remote/dispatcher/state_purchase_lot_view/740614</v>
      </c>
      <c r="C1046" s="1" t="s">
        <v>3945</v>
      </c>
      <c r="D1046" s="1" t="s">
        <v>511</v>
      </c>
      <c r="E1046" s="4">
        <v>4005</v>
      </c>
      <c r="F1046" s="5">
        <v>104.87</v>
      </c>
      <c r="G1046" s="1" t="s">
        <v>4857</v>
      </c>
      <c r="H1046" s="1" t="s">
        <v>931</v>
      </c>
      <c r="I1046" s="1" t="s">
        <v>2946</v>
      </c>
      <c r="J1046" s="5">
        <v>3544000</v>
      </c>
      <c r="K1046" s="5">
        <v>420000</v>
      </c>
      <c r="L1046" s="5">
        <v>2100</v>
      </c>
      <c r="M1046" s="1" t="s">
        <v>2308</v>
      </c>
      <c r="N1046" s="1" t="s">
        <v>3983</v>
      </c>
      <c r="O1046" s="1" t="s">
        <v>2521</v>
      </c>
      <c r="P1046" s="1" t="s">
        <v>2515</v>
      </c>
      <c r="Q1046" s="1" t="s">
        <v>3504</v>
      </c>
      <c r="R1046" s="1" t="s">
        <v>4233</v>
      </c>
      <c r="S1046" s="1" t="s">
        <v>4971</v>
      </c>
      <c r="T1046" s="6">
        <v>44593</v>
      </c>
      <c r="U1046" s="6">
        <v>44593</v>
      </c>
      <c r="V1046" s="7">
        <v>0.46001624122685186</v>
      </c>
      <c r="W1046" s="6">
        <v>44609</v>
      </c>
      <c r="X1046" s="7">
        <v>0</v>
      </c>
      <c r="Y1046" s="8">
        <v>44609.573692129627</v>
      </c>
      <c r="Z1046" s="5">
        <v>510</v>
      </c>
      <c r="AA1046" s="1" t="s">
        <v>3403</v>
      </c>
      <c r="AB1046" s="1"/>
      <c r="AC1046" s="1"/>
      <c r="AD1046" s="1"/>
      <c r="AE1046" s="1" t="s">
        <v>3788</v>
      </c>
      <c r="AF1046" s="1" t="s">
        <v>9</v>
      </c>
      <c r="AG1046" s="4">
        <v>1</v>
      </c>
      <c r="AH1046" s="1"/>
      <c r="AI1046" s="6">
        <v>44926</v>
      </c>
    </row>
    <row r="1047" spans="1:35" x14ac:dyDescent="0.3">
      <c r="A1047" s="1" t="s">
        <v>1718</v>
      </c>
      <c r="B1047" s="2" t="str">
        <f>HYPERLINK("https://my.zakupki.prom.ua/remote/dispatcher/state_purchase_lot_view/740615")</f>
        <v>https://my.zakupki.prom.ua/remote/dispatcher/state_purchase_lot_view/740615</v>
      </c>
      <c r="C1047" s="1" t="s">
        <v>3947</v>
      </c>
      <c r="D1047" s="1" t="s">
        <v>511</v>
      </c>
      <c r="E1047" s="4">
        <v>360</v>
      </c>
      <c r="F1047" s="5">
        <v>450</v>
      </c>
      <c r="G1047" s="1" t="s">
        <v>4857</v>
      </c>
      <c r="H1047" s="1" t="s">
        <v>931</v>
      </c>
      <c r="I1047" s="1" t="s">
        <v>2946</v>
      </c>
      <c r="J1047" s="5">
        <v>3544000</v>
      </c>
      <c r="K1047" s="5">
        <v>162000</v>
      </c>
      <c r="L1047" s="5">
        <v>810</v>
      </c>
      <c r="M1047" s="1" t="s">
        <v>2308</v>
      </c>
      <c r="N1047" s="1" t="s">
        <v>3983</v>
      </c>
      <c r="O1047" s="1" t="s">
        <v>2521</v>
      </c>
      <c r="P1047" s="1" t="s">
        <v>2515</v>
      </c>
      <c r="Q1047" s="1" t="s">
        <v>3504</v>
      </c>
      <c r="R1047" s="1" t="s">
        <v>4233</v>
      </c>
      <c r="S1047" s="1" t="s">
        <v>4971</v>
      </c>
      <c r="T1047" s="6">
        <v>44593</v>
      </c>
      <c r="U1047" s="6">
        <v>44593</v>
      </c>
      <c r="V1047" s="7">
        <v>0.46001624122685186</v>
      </c>
      <c r="W1047" s="6">
        <v>44609</v>
      </c>
      <c r="X1047" s="7">
        <v>0</v>
      </c>
      <c r="Y1047" s="8">
        <v>44609.594837962963</v>
      </c>
      <c r="Z1047" s="5">
        <v>340</v>
      </c>
      <c r="AA1047" s="1" t="s">
        <v>3403</v>
      </c>
      <c r="AB1047" s="1"/>
      <c r="AC1047" s="1"/>
      <c r="AD1047" s="1"/>
      <c r="AE1047" s="1" t="s">
        <v>3788</v>
      </c>
      <c r="AF1047" s="1" t="s">
        <v>9</v>
      </c>
      <c r="AG1047" s="4">
        <v>1</v>
      </c>
      <c r="AH1047" s="1"/>
      <c r="AI1047" s="6">
        <v>44926</v>
      </c>
    </row>
    <row r="1048" spans="1:35" x14ac:dyDescent="0.3">
      <c r="A1048" s="1" t="s">
        <v>1718</v>
      </c>
      <c r="B1048" s="2" t="str">
        <f>HYPERLINK("https://my.zakupki.prom.ua/remote/dispatcher/state_purchase_lot_view/740616")</f>
        <v>https://my.zakupki.prom.ua/remote/dispatcher/state_purchase_lot_view/740616</v>
      </c>
      <c r="C1048" s="1" t="s">
        <v>3943</v>
      </c>
      <c r="D1048" s="1" t="s">
        <v>511</v>
      </c>
      <c r="E1048" s="4">
        <v>720</v>
      </c>
      <c r="F1048" s="5">
        <v>90.28</v>
      </c>
      <c r="G1048" s="1" t="s">
        <v>4857</v>
      </c>
      <c r="H1048" s="1" t="s">
        <v>931</v>
      </c>
      <c r="I1048" s="1" t="s">
        <v>2946</v>
      </c>
      <c r="J1048" s="5">
        <v>3544000</v>
      </c>
      <c r="K1048" s="5">
        <v>65000</v>
      </c>
      <c r="L1048" s="5">
        <v>325</v>
      </c>
      <c r="M1048" s="1" t="s">
        <v>2308</v>
      </c>
      <c r="N1048" s="1" t="s">
        <v>3983</v>
      </c>
      <c r="O1048" s="1" t="s">
        <v>2521</v>
      </c>
      <c r="P1048" s="1" t="s">
        <v>2515</v>
      </c>
      <c r="Q1048" s="1" t="s">
        <v>3504</v>
      </c>
      <c r="R1048" s="1" t="s">
        <v>4233</v>
      </c>
      <c r="S1048" s="1" t="s">
        <v>4971</v>
      </c>
      <c r="T1048" s="6">
        <v>44593</v>
      </c>
      <c r="U1048" s="6">
        <v>44593</v>
      </c>
      <c r="V1048" s="7">
        <v>0.46001624122685186</v>
      </c>
      <c r="W1048" s="6">
        <v>44609</v>
      </c>
      <c r="X1048" s="7">
        <v>0</v>
      </c>
      <c r="Y1048" s="8">
        <v>44609.615694444445</v>
      </c>
      <c r="Z1048" s="5">
        <v>340</v>
      </c>
      <c r="AA1048" s="1" t="s">
        <v>3403</v>
      </c>
      <c r="AB1048" s="1"/>
      <c r="AC1048" s="1"/>
      <c r="AD1048" s="1"/>
      <c r="AE1048" s="1" t="s">
        <v>3788</v>
      </c>
      <c r="AF1048" s="1" t="s">
        <v>9</v>
      </c>
      <c r="AG1048" s="4">
        <v>1</v>
      </c>
      <c r="AH1048" s="1"/>
      <c r="AI1048" s="6">
        <v>44926</v>
      </c>
    </row>
    <row r="1049" spans="1:35" x14ac:dyDescent="0.3">
      <c r="A1049" s="1" t="s">
        <v>1718</v>
      </c>
      <c r="B1049" s="2" t="str">
        <f>HYPERLINK("https://my.zakupki.prom.ua/remote/dispatcher/state_purchase_lot_view/740617")</f>
        <v>https://my.zakupki.prom.ua/remote/dispatcher/state_purchase_lot_view/740617</v>
      </c>
      <c r="C1049" s="1" t="s">
        <v>3946</v>
      </c>
      <c r="D1049" s="1" t="s">
        <v>511</v>
      </c>
      <c r="E1049" s="4">
        <v>72</v>
      </c>
      <c r="F1049" s="5">
        <v>430.56</v>
      </c>
      <c r="G1049" s="1" t="s">
        <v>4857</v>
      </c>
      <c r="H1049" s="1" t="s">
        <v>931</v>
      </c>
      <c r="I1049" s="1" t="s">
        <v>2946</v>
      </c>
      <c r="J1049" s="5">
        <v>3544000</v>
      </c>
      <c r="K1049" s="5">
        <v>31000</v>
      </c>
      <c r="L1049" s="5">
        <v>155</v>
      </c>
      <c r="M1049" s="1" t="s">
        <v>2308</v>
      </c>
      <c r="N1049" s="1" t="s">
        <v>3983</v>
      </c>
      <c r="O1049" s="1" t="s">
        <v>2521</v>
      </c>
      <c r="P1049" s="1" t="s">
        <v>2515</v>
      </c>
      <c r="Q1049" s="1" t="s">
        <v>3504</v>
      </c>
      <c r="R1049" s="1" t="s">
        <v>4233</v>
      </c>
      <c r="S1049" s="1" t="s">
        <v>4971</v>
      </c>
      <c r="T1049" s="6">
        <v>44593</v>
      </c>
      <c r="U1049" s="6">
        <v>44593</v>
      </c>
      <c r="V1049" s="7">
        <v>0.46001624122685186</v>
      </c>
      <c r="W1049" s="6">
        <v>44609</v>
      </c>
      <c r="X1049" s="7">
        <v>0</v>
      </c>
      <c r="Y1049" s="8">
        <v>44609.641273148147</v>
      </c>
      <c r="Z1049" s="5">
        <v>119</v>
      </c>
      <c r="AA1049" s="1" t="s">
        <v>3403</v>
      </c>
      <c r="AB1049" s="1"/>
      <c r="AC1049" s="1"/>
      <c r="AD1049" s="1"/>
      <c r="AE1049" s="1" t="s">
        <v>3788</v>
      </c>
      <c r="AF1049" s="1" t="s">
        <v>9</v>
      </c>
      <c r="AG1049" s="4">
        <v>1</v>
      </c>
      <c r="AH1049" s="1"/>
      <c r="AI1049" s="6">
        <v>44926</v>
      </c>
    </row>
    <row r="1050" spans="1:35" x14ac:dyDescent="0.3">
      <c r="A1050" s="1" t="s">
        <v>1714</v>
      </c>
      <c r="B1050" s="2" t="str">
        <f>HYPERLINK("https://my.zakupki.prom.ua/remote/dispatcher/state_purchase_view/34679014")</f>
        <v>https://my.zakupki.prom.ua/remote/dispatcher/state_purchase_view/34679014</v>
      </c>
      <c r="C1050" s="1" t="s">
        <v>1179</v>
      </c>
      <c r="D1050" s="1" t="s">
        <v>1179</v>
      </c>
      <c r="E1050" s="4">
        <v>1</v>
      </c>
      <c r="F1050" s="5">
        <v>79800</v>
      </c>
      <c r="G1050" s="1" t="s">
        <v>4940</v>
      </c>
      <c r="H1050" s="1" t="s">
        <v>19</v>
      </c>
      <c r="I1050" s="1" t="s">
        <v>3466</v>
      </c>
      <c r="J1050" s="5">
        <v>79800</v>
      </c>
      <c r="K1050" s="1" t="s">
        <v>3394</v>
      </c>
      <c r="L1050" s="5">
        <v>399</v>
      </c>
      <c r="M1050" s="1" t="s">
        <v>2308</v>
      </c>
      <c r="N1050" s="1" t="s">
        <v>3983</v>
      </c>
      <c r="O1050" s="1" t="s">
        <v>2521</v>
      </c>
      <c r="P1050" s="1" t="s">
        <v>3956</v>
      </c>
      <c r="Q1050" s="1" t="s">
        <v>2497</v>
      </c>
      <c r="R1050" s="1" t="s">
        <v>4081</v>
      </c>
      <c r="S1050" s="1" t="s">
        <v>4937</v>
      </c>
      <c r="T1050" s="6">
        <v>44593</v>
      </c>
      <c r="U1050" s="6">
        <v>44599</v>
      </c>
      <c r="V1050" s="7">
        <v>0.95833333333333337</v>
      </c>
      <c r="W1050" s="6">
        <v>44602</v>
      </c>
      <c r="X1050" s="7">
        <v>0</v>
      </c>
      <c r="Y1050" s="1" t="s">
        <v>4860</v>
      </c>
      <c r="Z1050" s="5">
        <v>340</v>
      </c>
      <c r="AA1050" s="1" t="s">
        <v>3403</v>
      </c>
      <c r="AB1050" s="1"/>
      <c r="AC1050" s="1"/>
      <c r="AD1050" s="1"/>
      <c r="AE1050" s="1" t="s">
        <v>3731</v>
      </c>
      <c r="AF1050" s="1" t="s">
        <v>9</v>
      </c>
      <c r="AG1050" s="4">
        <v>15</v>
      </c>
      <c r="AH1050" s="1"/>
      <c r="AI1050" s="6">
        <v>44926</v>
      </c>
    </row>
    <row r="1051" spans="1:35" x14ac:dyDescent="0.3">
      <c r="A1051" s="1" t="s">
        <v>1443</v>
      </c>
      <c r="B1051" s="2" t="str">
        <f>HYPERLINK("https://my.zakupki.prom.ua/remote/dispatcher/state_purchase_view/34679015")</f>
        <v>https://my.zakupki.prom.ua/remote/dispatcher/state_purchase_view/34679015</v>
      </c>
      <c r="C1051" s="1" t="s">
        <v>2718</v>
      </c>
      <c r="D1051" s="1" t="s">
        <v>269</v>
      </c>
      <c r="E1051" s="4">
        <v>166</v>
      </c>
      <c r="F1051" s="5">
        <v>1200</v>
      </c>
      <c r="G1051" s="1" t="s">
        <v>4921</v>
      </c>
      <c r="H1051" s="1" t="s">
        <v>613</v>
      </c>
      <c r="I1051" s="1" t="s">
        <v>3437</v>
      </c>
      <c r="J1051" s="5">
        <v>199200</v>
      </c>
      <c r="K1051" s="1" t="s">
        <v>3394</v>
      </c>
      <c r="L1051" s="5">
        <v>996</v>
      </c>
      <c r="M1051" s="1" t="s">
        <v>2308</v>
      </c>
      <c r="N1051" s="1" t="s">
        <v>3983</v>
      </c>
      <c r="O1051" s="1" t="s">
        <v>2521</v>
      </c>
      <c r="P1051" s="1" t="s">
        <v>3956</v>
      </c>
      <c r="Q1051" s="1" t="s">
        <v>3878</v>
      </c>
      <c r="R1051" s="1" t="s">
        <v>4072</v>
      </c>
      <c r="S1051" s="1" t="s">
        <v>4937</v>
      </c>
      <c r="T1051" s="6">
        <v>44593</v>
      </c>
      <c r="U1051" s="6">
        <v>44599</v>
      </c>
      <c r="V1051" s="7">
        <v>0</v>
      </c>
      <c r="W1051" s="6">
        <v>44602</v>
      </c>
      <c r="X1051" s="7">
        <v>0</v>
      </c>
      <c r="Y1051" s="1" t="s">
        <v>4860</v>
      </c>
      <c r="Z1051" s="5">
        <v>340</v>
      </c>
      <c r="AA1051" s="1" t="s">
        <v>3403</v>
      </c>
      <c r="AB1051" s="1"/>
      <c r="AC1051" s="1"/>
      <c r="AD1051" s="1"/>
      <c r="AE1051" s="1" t="s">
        <v>3768</v>
      </c>
      <c r="AF1051" s="1" t="s">
        <v>9</v>
      </c>
      <c r="AG1051" s="1" t="s">
        <v>9</v>
      </c>
      <c r="AH1051" s="1"/>
      <c r="AI1051" s="6">
        <v>44849</v>
      </c>
    </row>
    <row r="1052" spans="1:35" x14ac:dyDescent="0.3">
      <c r="A1052" s="1" t="s">
        <v>1412</v>
      </c>
      <c r="B1052" s="2" t="str">
        <f>HYPERLINK("https://my.zakupki.prom.ua/remote/dispatcher/state_purchase_view/34679004")</f>
        <v>https://my.zakupki.prom.ua/remote/dispatcher/state_purchase_view/34679004</v>
      </c>
      <c r="C1052" s="1" t="s">
        <v>778</v>
      </c>
      <c r="D1052" s="1" t="s">
        <v>779</v>
      </c>
      <c r="E1052" s="1" t="s">
        <v>4903</v>
      </c>
      <c r="F1052" s="1" t="s">
        <v>4903</v>
      </c>
      <c r="G1052" s="1" t="s">
        <v>4903</v>
      </c>
      <c r="H1052" s="1" t="s">
        <v>905</v>
      </c>
      <c r="I1052" s="1" t="s">
        <v>3088</v>
      </c>
      <c r="J1052" s="5">
        <v>262000</v>
      </c>
      <c r="K1052" s="1" t="s">
        <v>3394</v>
      </c>
      <c r="L1052" s="5">
        <v>1310</v>
      </c>
      <c r="M1052" s="1" t="s">
        <v>2308</v>
      </c>
      <c r="N1052" s="1" t="s">
        <v>3983</v>
      </c>
      <c r="O1052" s="1" t="s">
        <v>2521</v>
      </c>
      <c r="P1052" s="1" t="s">
        <v>2515</v>
      </c>
      <c r="Q1052" s="1" t="s">
        <v>2761</v>
      </c>
      <c r="R1052" s="1" t="s">
        <v>4054</v>
      </c>
      <c r="S1052" s="1" t="s">
        <v>4971</v>
      </c>
      <c r="T1052" s="6">
        <v>44593</v>
      </c>
      <c r="U1052" s="6">
        <v>44593</v>
      </c>
      <c r="V1052" s="7">
        <v>0.45261719122685184</v>
      </c>
      <c r="W1052" s="6">
        <v>44609</v>
      </c>
      <c r="X1052" s="7">
        <v>0.45607638888888891</v>
      </c>
      <c r="Y1052" s="8">
        <v>44610.597696759258</v>
      </c>
      <c r="Z1052" s="5">
        <v>510</v>
      </c>
      <c r="AA1052" s="1" t="s">
        <v>3403</v>
      </c>
      <c r="AB1052" s="1"/>
      <c r="AC1052" s="1"/>
      <c r="AD1052" s="1"/>
      <c r="AE1052" s="1" t="s">
        <v>3788</v>
      </c>
      <c r="AF1052" s="1" t="s">
        <v>9</v>
      </c>
      <c r="AG1052" s="4">
        <v>6</v>
      </c>
      <c r="AH1052" s="1"/>
      <c r="AI1052" s="6">
        <v>44926</v>
      </c>
    </row>
    <row r="1053" spans="1:35" x14ac:dyDescent="0.3">
      <c r="A1053" s="1" t="s">
        <v>1439</v>
      </c>
      <c r="B1053" s="2" t="str">
        <f>HYPERLINK("https://my.zakupki.prom.ua/remote/dispatcher/state_purchase_view/34678997")</f>
        <v>https://my.zakupki.prom.ua/remote/dispatcher/state_purchase_view/34678997</v>
      </c>
      <c r="C1053" s="1" t="s">
        <v>1234</v>
      </c>
      <c r="D1053" s="1" t="s">
        <v>1233</v>
      </c>
      <c r="E1053" s="4">
        <v>2</v>
      </c>
      <c r="F1053" s="5">
        <v>18531.5</v>
      </c>
      <c r="G1053" s="1" t="s">
        <v>4940</v>
      </c>
      <c r="H1053" s="1" t="s">
        <v>1005</v>
      </c>
      <c r="I1053" s="1" t="s">
        <v>2745</v>
      </c>
      <c r="J1053" s="5">
        <v>37063</v>
      </c>
      <c r="K1053" s="1" t="s">
        <v>3394</v>
      </c>
      <c r="L1053" s="5">
        <v>185.5</v>
      </c>
      <c r="M1053" s="1" t="s">
        <v>2308</v>
      </c>
      <c r="N1053" s="1" t="s">
        <v>3983</v>
      </c>
      <c r="O1053" s="1" t="s">
        <v>2521</v>
      </c>
      <c r="P1053" s="1" t="s">
        <v>2762</v>
      </c>
      <c r="Q1053" s="1" t="s">
        <v>4911</v>
      </c>
      <c r="R1053" s="1" t="s">
        <v>4081</v>
      </c>
      <c r="S1053" s="1" t="s">
        <v>4937</v>
      </c>
      <c r="T1053" s="6">
        <v>44593</v>
      </c>
      <c r="U1053" s="6">
        <v>44599</v>
      </c>
      <c r="V1053" s="7">
        <v>0</v>
      </c>
      <c r="W1053" s="6">
        <v>44602</v>
      </c>
      <c r="X1053" s="7">
        <v>0</v>
      </c>
      <c r="Y1053" s="1" t="s">
        <v>4860</v>
      </c>
      <c r="Z1053" s="5">
        <v>119</v>
      </c>
      <c r="AA1053" s="1" t="s">
        <v>3403</v>
      </c>
      <c r="AB1053" s="1"/>
      <c r="AC1053" s="1"/>
      <c r="AD1053" s="1"/>
      <c r="AE1053" s="1" t="s">
        <v>3738</v>
      </c>
      <c r="AF1053" s="1" t="s">
        <v>9</v>
      </c>
      <c r="AG1053" s="4">
        <v>1</v>
      </c>
      <c r="AH1053" s="1"/>
      <c r="AI1053" s="6">
        <v>44804</v>
      </c>
    </row>
    <row r="1054" spans="1:35" x14ac:dyDescent="0.3">
      <c r="A1054" s="1" t="s">
        <v>1436</v>
      </c>
      <c r="B1054" s="2" t="str">
        <f>HYPERLINK("https://my.zakupki.prom.ua/remote/dispatcher/state_purchase_view/34678985")</f>
        <v>https://my.zakupki.prom.ua/remote/dispatcher/state_purchase_view/34678985</v>
      </c>
      <c r="C1054" s="1" t="s">
        <v>3998</v>
      </c>
      <c r="D1054" s="1" t="s">
        <v>1168</v>
      </c>
      <c r="E1054" s="4">
        <v>1</v>
      </c>
      <c r="F1054" s="5">
        <v>35000</v>
      </c>
      <c r="G1054" s="1" t="s">
        <v>4940</v>
      </c>
      <c r="H1054" s="1" t="s">
        <v>897</v>
      </c>
      <c r="I1054" s="1" t="s">
        <v>4735</v>
      </c>
      <c r="J1054" s="5">
        <v>35000</v>
      </c>
      <c r="K1054" s="1" t="s">
        <v>3394</v>
      </c>
      <c r="L1054" s="5">
        <v>300</v>
      </c>
      <c r="M1054" s="1" t="s">
        <v>2308</v>
      </c>
      <c r="N1054" s="1" t="s">
        <v>3983</v>
      </c>
      <c r="O1054" s="1" t="s">
        <v>2521</v>
      </c>
      <c r="P1054" s="1" t="s">
        <v>3956</v>
      </c>
      <c r="Q1054" s="1" t="s">
        <v>4911</v>
      </c>
      <c r="R1054" s="1" t="s">
        <v>4081</v>
      </c>
      <c r="S1054" s="1" t="s">
        <v>4937</v>
      </c>
      <c r="T1054" s="6">
        <v>44593</v>
      </c>
      <c r="U1054" s="6">
        <v>44600</v>
      </c>
      <c r="V1054" s="7">
        <v>0</v>
      </c>
      <c r="W1054" s="6">
        <v>44603</v>
      </c>
      <c r="X1054" s="7">
        <v>0</v>
      </c>
      <c r="Y1054" s="1" t="s">
        <v>4860</v>
      </c>
      <c r="Z1054" s="5">
        <v>119</v>
      </c>
      <c r="AA1054" s="1" t="s">
        <v>3403</v>
      </c>
      <c r="AB1054" s="1"/>
      <c r="AC1054" s="1"/>
      <c r="AD1054" s="1"/>
      <c r="AE1054" s="1" t="s">
        <v>3736</v>
      </c>
      <c r="AF1054" s="1" t="s">
        <v>9</v>
      </c>
      <c r="AG1054" s="4">
        <v>12</v>
      </c>
      <c r="AH1054" s="1"/>
      <c r="AI1054" s="6">
        <v>44926</v>
      </c>
    </row>
    <row r="1055" spans="1:35" x14ac:dyDescent="0.3">
      <c r="A1055" s="1" t="s">
        <v>1398</v>
      </c>
      <c r="B1055" s="2" t="str">
        <f>HYPERLINK("https://my.zakupki.prom.ua/remote/dispatcher/state_purchase_view/34678978")</f>
        <v>https://my.zakupki.prom.ua/remote/dispatcher/state_purchase_view/34678978</v>
      </c>
      <c r="C1055" s="1" t="s">
        <v>3068</v>
      </c>
      <c r="D1055" s="1" t="s">
        <v>701</v>
      </c>
      <c r="E1055" s="1" t="s">
        <v>4903</v>
      </c>
      <c r="F1055" s="1" t="s">
        <v>4903</v>
      </c>
      <c r="G1055" s="1" t="s">
        <v>4903</v>
      </c>
      <c r="H1055" s="1" t="s">
        <v>865</v>
      </c>
      <c r="I1055" s="1" t="s">
        <v>4730</v>
      </c>
      <c r="J1055" s="5">
        <v>136000</v>
      </c>
      <c r="K1055" s="1" t="s">
        <v>3394</v>
      </c>
      <c r="L1055" s="5">
        <v>680</v>
      </c>
      <c r="M1055" s="1" t="s">
        <v>2308</v>
      </c>
      <c r="N1055" s="1" t="s">
        <v>3983</v>
      </c>
      <c r="O1055" s="1" t="s">
        <v>2521</v>
      </c>
      <c r="P1055" s="1" t="s">
        <v>3956</v>
      </c>
      <c r="Q1055" s="1" t="s">
        <v>3992</v>
      </c>
      <c r="R1055" s="1" t="s">
        <v>4310</v>
      </c>
      <c r="S1055" s="1" t="s">
        <v>4937</v>
      </c>
      <c r="T1055" s="6">
        <v>44593</v>
      </c>
      <c r="U1055" s="6">
        <v>44599</v>
      </c>
      <c r="V1055" s="7">
        <v>0.45431712962962961</v>
      </c>
      <c r="W1055" s="6">
        <v>44602</v>
      </c>
      <c r="X1055" s="7">
        <v>0.45431712962962961</v>
      </c>
      <c r="Y1055" s="1" t="s">
        <v>4860</v>
      </c>
      <c r="Z1055" s="5">
        <v>340</v>
      </c>
      <c r="AA1055" s="1" t="s">
        <v>3403</v>
      </c>
      <c r="AB1055" s="1"/>
      <c r="AC1055" s="1"/>
      <c r="AD1055" s="1"/>
      <c r="AE1055" s="1" t="s">
        <v>3800</v>
      </c>
      <c r="AF1055" s="1" t="s">
        <v>9</v>
      </c>
      <c r="AG1055" s="4">
        <v>46</v>
      </c>
      <c r="AH1055" s="1"/>
      <c r="AI1055" s="6">
        <v>44620</v>
      </c>
    </row>
    <row r="1056" spans="1:35" x14ac:dyDescent="0.3">
      <c r="A1056" s="1" t="s">
        <v>1322</v>
      </c>
      <c r="B1056" s="2" t="str">
        <f>HYPERLINK("https://my.zakupki.prom.ua/remote/dispatcher/state_purchase_view/34678953")</f>
        <v>https://my.zakupki.prom.ua/remote/dispatcher/state_purchase_view/34678953</v>
      </c>
      <c r="C1056" s="1" t="s">
        <v>3552</v>
      </c>
      <c r="D1056" s="1" t="s">
        <v>1141</v>
      </c>
      <c r="E1056" s="4">
        <v>1</v>
      </c>
      <c r="F1056" s="5">
        <v>198000</v>
      </c>
      <c r="G1056" s="1" t="s">
        <v>4940</v>
      </c>
      <c r="H1056" s="1" t="s">
        <v>554</v>
      </c>
      <c r="I1056" s="1" t="s">
        <v>4728</v>
      </c>
      <c r="J1056" s="5">
        <v>198000</v>
      </c>
      <c r="K1056" s="1" t="s">
        <v>3394</v>
      </c>
      <c r="L1056" s="5">
        <v>990</v>
      </c>
      <c r="M1056" s="1" t="s">
        <v>2308</v>
      </c>
      <c r="N1056" s="1" t="s">
        <v>3983</v>
      </c>
      <c r="O1056" s="1" t="s">
        <v>2521</v>
      </c>
      <c r="P1056" s="1" t="s">
        <v>3956</v>
      </c>
      <c r="Q1056" s="1" t="s">
        <v>3325</v>
      </c>
      <c r="R1056" s="1" t="s">
        <v>4592</v>
      </c>
      <c r="S1056" s="1" t="s">
        <v>4937</v>
      </c>
      <c r="T1056" s="6">
        <v>44593</v>
      </c>
      <c r="U1056" s="6">
        <v>44599</v>
      </c>
      <c r="V1056" s="7">
        <v>0</v>
      </c>
      <c r="W1056" s="6">
        <v>44602</v>
      </c>
      <c r="X1056" s="7">
        <v>0</v>
      </c>
      <c r="Y1056" s="1" t="s">
        <v>4860</v>
      </c>
      <c r="Z1056" s="5">
        <v>340</v>
      </c>
      <c r="AA1056" s="1" t="s">
        <v>3403</v>
      </c>
      <c r="AB1056" s="1"/>
      <c r="AC1056" s="1"/>
      <c r="AD1056" s="1"/>
      <c r="AE1056" s="1" t="s">
        <v>3750</v>
      </c>
      <c r="AF1056" s="1" t="s">
        <v>9</v>
      </c>
      <c r="AG1056" s="4">
        <v>4</v>
      </c>
      <c r="AH1056" s="1"/>
      <c r="AI1056" s="6">
        <v>44926</v>
      </c>
    </row>
    <row r="1057" spans="1:35" x14ac:dyDescent="0.3">
      <c r="A1057" s="1" t="s">
        <v>1666</v>
      </c>
      <c r="B1057" s="2" t="str">
        <f>HYPERLINK("https://my.zakupki.prom.ua/remote/dispatcher/state_purchase_view/34678949")</f>
        <v>https://my.zakupki.prom.ua/remote/dispatcher/state_purchase_view/34678949</v>
      </c>
      <c r="C1057" s="1" t="s">
        <v>3995</v>
      </c>
      <c r="D1057" s="1" t="s">
        <v>1155</v>
      </c>
      <c r="E1057" s="4">
        <v>1</v>
      </c>
      <c r="F1057" s="5">
        <v>15000</v>
      </c>
      <c r="G1057" s="1" t="s">
        <v>4939</v>
      </c>
      <c r="H1057" s="1" t="s">
        <v>303</v>
      </c>
      <c r="I1057" s="1" t="s">
        <v>3881</v>
      </c>
      <c r="J1057" s="5">
        <v>15000</v>
      </c>
      <c r="K1057" s="1" t="s">
        <v>3394</v>
      </c>
      <c r="L1057" s="5">
        <v>75</v>
      </c>
      <c r="M1057" s="1" t="s">
        <v>2308</v>
      </c>
      <c r="N1057" s="1" t="s">
        <v>3983</v>
      </c>
      <c r="O1057" s="1" t="s">
        <v>2521</v>
      </c>
      <c r="P1057" s="1" t="s">
        <v>3956</v>
      </c>
      <c r="Q1057" s="1" t="s">
        <v>4794</v>
      </c>
      <c r="R1057" s="1" t="s">
        <v>4081</v>
      </c>
      <c r="S1057" s="1" t="s">
        <v>4937</v>
      </c>
      <c r="T1057" s="6">
        <v>44593</v>
      </c>
      <c r="U1057" s="6">
        <v>44597</v>
      </c>
      <c r="V1057" s="7">
        <v>0.5</v>
      </c>
      <c r="W1057" s="6">
        <v>44602</v>
      </c>
      <c r="X1057" s="7">
        <v>0.5</v>
      </c>
      <c r="Y1057" s="1" t="s">
        <v>4860</v>
      </c>
      <c r="Z1057" s="5">
        <v>17</v>
      </c>
      <c r="AA1057" s="1" t="s">
        <v>3403</v>
      </c>
      <c r="AB1057" s="1"/>
      <c r="AC1057" s="1"/>
      <c r="AD1057" s="1"/>
      <c r="AE1057" s="1" t="s">
        <v>3759</v>
      </c>
      <c r="AF1057" s="1" t="s">
        <v>9</v>
      </c>
      <c r="AG1057" s="4">
        <v>6</v>
      </c>
      <c r="AH1057" s="1"/>
      <c r="AI1057" s="6">
        <v>44926</v>
      </c>
    </row>
    <row r="1058" spans="1:35" x14ac:dyDescent="0.3">
      <c r="A1058" s="1" t="s">
        <v>1317</v>
      </c>
      <c r="B1058" s="2" t="str">
        <f>HYPERLINK("https://my.zakupki.prom.ua/remote/dispatcher/state_purchase_view/34678946")</f>
        <v>https://my.zakupki.prom.ua/remote/dispatcher/state_purchase_view/34678946</v>
      </c>
      <c r="C1058" s="1" t="s">
        <v>3563</v>
      </c>
      <c r="D1058" s="1" t="s">
        <v>1255</v>
      </c>
      <c r="E1058" s="4">
        <v>27</v>
      </c>
      <c r="F1058" s="5">
        <v>2700</v>
      </c>
      <c r="G1058" s="1" t="s">
        <v>4939</v>
      </c>
      <c r="H1058" s="1" t="s">
        <v>43</v>
      </c>
      <c r="I1058" s="1" t="s">
        <v>2739</v>
      </c>
      <c r="J1058" s="5">
        <v>72900</v>
      </c>
      <c r="K1058" s="1" t="s">
        <v>3394</v>
      </c>
      <c r="L1058" s="5">
        <v>364.5</v>
      </c>
      <c r="M1058" s="1" t="s">
        <v>2308</v>
      </c>
      <c r="N1058" s="1" t="s">
        <v>3983</v>
      </c>
      <c r="O1058" s="1" t="s">
        <v>2521</v>
      </c>
      <c r="P1058" s="1" t="s">
        <v>3956</v>
      </c>
      <c r="Q1058" s="1" t="s">
        <v>3264</v>
      </c>
      <c r="R1058" s="1" t="s">
        <v>4179</v>
      </c>
      <c r="S1058" s="1" t="s">
        <v>4937</v>
      </c>
      <c r="T1058" s="6">
        <v>44593</v>
      </c>
      <c r="U1058" s="6">
        <v>44599</v>
      </c>
      <c r="V1058" s="7">
        <v>0</v>
      </c>
      <c r="W1058" s="6">
        <v>44601</v>
      </c>
      <c r="X1058" s="7">
        <v>0</v>
      </c>
      <c r="Y1058" s="1" t="s">
        <v>4860</v>
      </c>
      <c r="Z1058" s="5">
        <v>340</v>
      </c>
      <c r="AA1058" s="1" t="s">
        <v>3403</v>
      </c>
      <c r="AB1058" s="1"/>
      <c r="AC1058" s="1"/>
      <c r="AD1058" s="1"/>
      <c r="AE1058" s="1" t="s">
        <v>3750</v>
      </c>
      <c r="AF1058" s="1" t="s">
        <v>9</v>
      </c>
      <c r="AG1058" s="4">
        <v>12</v>
      </c>
      <c r="AH1058" s="1"/>
      <c r="AI1058" s="6">
        <v>44926</v>
      </c>
    </row>
    <row r="1059" spans="1:35" x14ac:dyDescent="0.3">
      <c r="A1059" s="1" t="s">
        <v>1668</v>
      </c>
      <c r="B1059" s="2" t="str">
        <f>HYPERLINK("https://my.zakupki.prom.ua/remote/dispatcher/state_purchase_view/34678944")</f>
        <v>https://my.zakupki.prom.ua/remote/dispatcher/state_purchase_view/34678944</v>
      </c>
      <c r="C1059" s="1" t="s">
        <v>3599</v>
      </c>
      <c r="D1059" s="1" t="s">
        <v>1242</v>
      </c>
      <c r="E1059" s="4">
        <v>1</v>
      </c>
      <c r="F1059" s="5">
        <v>152000</v>
      </c>
      <c r="G1059" s="1" t="s">
        <v>4939</v>
      </c>
      <c r="H1059" s="1" t="s">
        <v>13</v>
      </c>
      <c r="I1059" s="1" t="s">
        <v>4760</v>
      </c>
      <c r="J1059" s="5">
        <v>152000</v>
      </c>
      <c r="K1059" s="1" t="s">
        <v>3394</v>
      </c>
      <c r="L1059" s="5">
        <v>1520</v>
      </c>
      <c r="M1059" s="1" t="s">
        <v>2308</v>
      </c>
      <c r="N1059" s="1" t="s">
        <v>3983</v>
      </c>
      <c r="O1059" s="1" t="s">
        <v>2521</v>
      </c>
      <c r="P1059" s="1" t="s">
        <v>3956</v>
      </c>
      <c r="Q1059" s="1" t="s">
        <v>3035</v>
      </c>
      <c r="R1059" s="1" t="s">
        <v>4081</v>
      </c>
      <c r="S1059" s="1" t="s">
        <v>4937</v>
      </c>
      <c r="T1059" s="6">
        <v>44593</v>
      </c>
      <c r="U1059" s="6">
        <v>44599</v>
      </c>
      <c r="V1059" s="7">
        <v>0.58333333333333337</v>
      </c>
      <c r="W1059" s="6">
        <v>44602</v>
      </c>
      <c r="X1059" s="7">
        <v>0</v>
      </c>
      <c r="Y1059" s="1" t="s">
        <v>4860</v>
      </c>
      <c r="Z1059" s="5">
        <v>340</v>
      </c>
      <c r="AA1059" s="1" t="s">
        <v>3403</v>
      </c>
      <c r="AB1059" s="1"/>
      <c r="AC1059" s="1"/>
      <c r="AD1059" s="1"/>
      <c r="AE1059" s="1" t="s">
        <v>3728</v>
      </c>
      <c r="AF1059" s="1" t="s">
        <v>9</v>
      </c>
      <c r="AG1059" s="4">
        <v>5</v>
      </c>
      <c r="AH1059" s="6">
        <v>44621</v>
      </c>
      <c r="AI1059" s="6">
        <v>44926</v>
      </c>
    </row>
    <row r="1060" spans="1:35" x14ac:dyDescent="0.3">
      <c r="A1060" s="1" t="s">
        <v>1430</v>
      </c>
      <c r="B1060" s="2" t="str">
        <f>HYPERLINK("https://my.zakupki.prom.ua/remote/dispatcher/state_purchase_view/34678938")</f>
        <v>https://my.zakupki.prom.ua/remote/dispatcher/state_purchase_view/34678938</v>
      </c>
      <c r="C1060" s="1" t="s">
        <v>4827</v>
      </c>
      <c r="D1060" s="1" t="s">
        <v>501</v>
      </c>
      <c r="E1060" s="4">
        <v>1000</v>
      </c>
      <c r="F1060" s="5">
        <v>27</v>
      </c>
      <c r="G1060" s="1" t="s">
        <v>4902</v>
      </c>
      <c r="H1060" s="1" t="s">
        <v>48</v>
      </c>
      <c r="I1060" s="1" t="s">
        <v>4898</v>
      </c>
      <c r="J1060" s="5">
        <v>27000</v>
      </c>
      <c r="K1060" s="1" t="s">
        <v>3394</v>
      </c>
      <c r="L1060" s="5">
        <v>270</v>
      </c>
      <c r="M1060" s="1" t="s">
        <v>2308</v>
      </c>
      <c r="N1060" s="1" t="s">
        <v>3983</v>
      </c>
      <c r="O1060" s="1" t="s">
        <v>2521</v>
      </c>
      <c r="P1060" s="1" t="s">
        <v>3956</v>
      </c>
      <c r="Q1060" s="1" t="s">
        <v>2528</v>
      </c>
      <c r="R1060" s="1" t="s">
        <v>4370</v>
      </c>
      <c r="S1060" s="1" t="s">
        <v>4937</v>
      </c>
      <c r="T1060" s="6">
        <v>44593</v>
      </c>
      <c r="U1060" s="6">
        <v>44599</v>
      </c>
      <c r="V1060" s="7">
        <v>0</v>
      </c>
      <c r="W1060" s="6">
        <v>44602</v>
      </c>
      <c r="X1060" s="7">
        <v>0</v>
      </c>
      <c r="Y1060" s="1" t="s">
        <v>4860</v>
      </c>
      <c r="Z1060" s="5">
        <v>119</v>
      </c>
      <c r="AA1060" s="1" t="s">
        <v>3403</v>
      </c>
      <c r="AB1060" s="1"/>
      <c r="AC1060" s="1"/>
      <c r="AD1060" s="1"/>
      <c r="AE1060" s="1" t="s">
        <v>3779</v>
      </c>
      <c r="AF1060" s="1" t="s">
        <v>9</v>
      </c>
      <c r="AG1060" s="4">
        <v>8</v>
      </c>
      <c r="AH1060" s="1"/>
      <c r="AI1060" s="6">
        <v>44926</v>
      </c>
    </row>
    <row r="1061" spans="1:35" x14ac:dyDescent="0.3">
      <c r="A1061" s="1" t="s">
        <v>1712</v>
      </c>
      <c r="B1061" s="2" t="str">
        <f>HYPERLINK("https://my.zakupki.prom.ua/remote/dispatcher/state_purchase_view/34678898")</f>
        <v>https://my.zakupki.prom.ua/remote/dispatcher/state_purchase_view/34678898</v>
      </c>
      <c r="C1061" s="1" t="s">
        <v>3318</v>
      </c>
      <c r="D1061" s="1" t="s">
        <v>764</v>
      </c>
      <c r="E1061" s="1" t="s">
        <v>4903</v>
      </c>
      <c r="F1061" s="1" t="s">
        <v>4903</v>
      </c>
      <c r="G1061" s="1" t="s">
        <v>4903</v>
      </c>
      <c r="H1061" s="1" t="s">
        <v>50</v>
      </c>
      <c r="I1061" s="1" t="s">
        <v>3171</v>
      </c>
      <c r="J1061" s="5">
        <v>420000</v>
      </c>
      <c r="K1061" s="1" t="s">
        <v>3394</v>
      </c>
      <c r="L1061" s="5">
        <v>2100</v>
      </c>
      <c r="M1061" s="1" t="s">
        <v>2308</v>
      </c>
      <c r="N1061" s="1" t="s">
        <v>3983</v>
      </c>
      <c r="O1061" s="1" t="s">
        <v>2521</v>
      </c>
      <c r="P1061" s="1" t="s">
        <v>3956</v>
      </c>
      <c r="Q1061" s="1" t="s">
        <v>2497</v>
      </c>
      <c r="R1061" s="1" t="s">
        <v>4697</v>
      </c>
      <c r="S1061" s="1" t="s">
        <v>4937</v>
      </c>
      <c r="T1061" s="6">
        <v>44593</v>
      </c>
      <c r="U1061" s="6">
        <v>44599</v>
      </c>
      <c r="V1061" s="7">
        <v>0</v>
      </c>
      <c r="W1061" s="6">
        <v>44602</v>
      </c>
      <c r="X1061" s="7">
        <v>0</v>
      </c>
      <c r="Y1061" s="1" t="s">
        <v>4860</v>
      </c>
      <c r="Z1061" s="5">
        <v>510</v>
      </c>
      <c r="AA1061" s="1" t="s">
        <v>3403</v>
      </c>
      <c r="AB1061" s="1"/>
      <c r="AC1061" s="1"/>
      <c r="AD1061" s="1"/>
      <c r="AE1061" s="1" t="s">
        <v>3774</v>
      </c>
      <c r="AF1061" s="1" t="s">
        <v>9</v>
      </c>
      <c r="AG1061" s="4">
        <v>14</v>
      </c>
      <c r="AH1061" s="1"/>
      <c r="AI1061" s="6">
        <v>44651</v>
      </c>
    </row>
    <row r="1062" spans="1:35" x14ac:dyDescent="0.3">
      <c r="A1062" s="1" t="s">
        <v>1418</v>
      </c>
      <c r="B1062" s="2" t="str">
        <f>HYPERLINK("https://my.zakupki.prom.ua/remote/dispatcher/state_purchase_view/34678928")</f>
        <v>https://my.zakupki.prom.ua/remote/dispatcher/state_purchase_view/34678928</v>
      </c>
      <c r="C1062" s="1" t="s">
        <v>452</v>
      </c>
      <c r="D1062" s="1" t="s">
        <v>453</v>
      </c>
      <c r="E1062" s="4">
        <v>800</v>
      </c>
      <c r="F1062" s="5">
        <v>85.38</v>
      </c>
      <c r="G1062" s="1" t="s">
        <v>4883</v>
      </c>
      <c r="H1062" s="1" t="s">
        <v>638</v>
      </c>
      <c r="I1062" s="1" t="s">
        <v>2836</v>
      </c>
      <c r="J1062" s="5">
        <v>68304</v>
      </c>
      <c r="K1062" s="1" t="s">
        <v>3394</v>
      </c>
      <c r="L1062" s="5">
        <v>341.52</v>
      </c>
      <c r="M1062" s="1" t="s">
        <v>2308</v>
      </c>
      <c r="N1062" s="1" t="s">
        <v>3983</v>
      </c>
      <c r="O1062" s="1" t="s">
        <v>2521</v>
      </c>
      <c r="P1062" s="1" t="s">
        <v>3956</v>
      </c>
      <c r="Q1062" s="1" t="s">
        <v>2820</v>
      </c>
      <c r="R1062" s="1" t="s">
        <v>4305</v>
      </c>
      <c r="S1062" s="1" t="s">
        <v>4937</v>
      </c>
      <c r="T1062" s="6">
        <v>44593</v>
      </c>
      <c r="U1062" s="6">
        <v>44599</v>
      </c>
      <c r="V1062" s="7">
        <v>0.45700231481481479</v>
      </c>
      <c r="W1062" s="6">
        <v>44602</v>
      </c>
      <c r="X1062" s="7">
        <v>0.45700231481481479</v>
      </c>
      <c r="Y1062" s="1" t="s">
        <v>4860</v>
      </c>
      <c r="Z1062" s="5">
        <v>340</v>
      </c>
      <c r="AA1062" s="1" t="s">
        <v>3403</v>
      </c>
      <c r="AB1062" s="1"/>
      <c r="AC1062" s="1"/>
      <c r="AD1062" s="1"/>
      <c r="AE1062" s="1" t="s">
        <v>3788</v>
      </c>
      <c r="AF1062" s="1" t="s">
        <v>9</v>
      </c>
      <c r="AG1062" s="1" t="s">
        <v>9</v>
      </c>
      <c r="AH1062" s="1"/>
      <c r="AI1062" s="6">
        <v>44926</v>
      </c>
    </row>
    <row r="1063" spans="1:35" x14ac:dyDescent="0.3">
      <c r="A1063" s="1" t="s">
        <v>1325</v>
      </c>
      <c r="B1063" s="2" t="str">
        <f>HYPERLINK("https://my.zakupki.prom.ua/remote/dispatcher/state_purchase_view/34678929")</f>
        <v>https://my.zakupki.prom.ua/remote/dispatcher/state_purchase_view/34678929</v>
      </c>
      <c r="C1063" s="1" t="s">
        <v>1108</v>
      </c>
      <c r="D1063" s="1" t="s">
        <v>1107</v>
      </c>
      <c r="E1063" s="4">
        <v>12</v>
      </c>
      <c r="F1063" s="5">
        <v>1500</v>
      </c>
      <c r="G1063" s="1" t="s">
        <v>4991</v>
      </c>
      <c r="H1063" s="1" t="s">
        <v>250</v>
      </c>
      <c r="I1063" s="1" t="s">
        <v>2343</v>
      </c>
      <c r="J1063" s="5">
        <v>18000</v>
      </c>
      <c r="K1063" s="1" t="s">
        <v>3394</v>
      </c>
      <c r="L1063" s="5">
        <v>90</v>
      </c>
      <c r="M1063" s="1" t="s">
        <v>2308</v>
      </c>
      <c r="N1063" s="1" t="s">
        <v>3983</v>
      </c>
      <c r="O1063" s="1" t="s">
        <v>2521</v>
      </c>
      <c r="P1063" s="1" t="s">
        <v>3956</v>
      </c>
      <c r="Q1063" s="1" t="s">
        <v>2796</v>
      </c>
      <c r="R1063" s="1" t="s">
        <v>4105</v>
      </c>
      <c r="S1063" s="1" t="s">
        <v>4937</v>
      </c>
      <c r="T1063" s="6">
        <v>44593</v>
      </c>
      <c r="U1063" s="6">
        <v>44599</v>
      </c>
      <c r="V1063" s="7">
        <v>0</v>
      </c>
      <c r="W1063" s="6">
        <v>44603</v>
      </c>
      <c r="X1063" s="7">
        <v>0</v>
      </c>
      <c r="Y1063" s="1" t="s">
        <v>4860</v>
      </c>
      <c r="Z1063" s="5">
        <v>17</v>
      </c>
      <c r="AA1063" s="1" t="s">
        <v>3403</v>
      </c>
      <c r="AB1063" s="1"/>
      <c r="AC1063" s="1"/>
      <c r="AD1063" s="1"/>
      <c r="AE1063" s="1" t="s">
        <v>3787</v>
      </c>
      <c r="AF1063" s="1" t="s">
        <v>9</v>
      </c>
      <c r="AG1063" s="1" t="s">
        <v>9</v>
      </c>
      <c r="AH1063" s="6">
        <v>44607</v>
      </c>
      <c r="AI1063" s="6">
        <v>44666</v>
      </c>
    </row>
    <row r="1064" spans="1:35" x14ac:dyDescent="0.3">
      <c r="A1064" s="1" t="s">
        <v>1672</v>
      </c>
      <c r="B1064" s="2" t="str">
        <f>HYPERLINK("https://my.zakupki.prom.ua/remote/dispatcher/state_purchase_view/34678923")</f>
        <v>https://my.zakupki.prom.ua/remote/dispatcher/state_purchase_view/34678923</v>
      </c>
      <c r="C1064" s="1" t="s">
        <v>3030</v>
      </c>
      <c r="D1064" s="1" t="s">
        <v>1091</v>
      </c>
      <c r="E1064" s="4">
        <v>300</v>
      </c>
      <c r="F1064" s="5">
        <v>358</v>
      </c>
      <c r="G1064" s="1" t="s">
        <v>4855</v>
      </c>
      <c r="H1064" s="1" t="s">
        <v>416</v>
      </c>
      <c r="I1064" s="1" t="s">
        <v>2720</v>
      </c>
      <c r="J1064" s="5">
        <v>107400</v>
      </c>
      <c r="K1064" s="1" t="s">
        <v>3394</v>
      </c>
      <c r="L1064" s="5">
        <v>537</v>
      </c>
      <c r="M1064" s="1" t="s">
        <v>2308</v>
      </c>
      <c r="N1064" s="1" t="s">
        <v>3403</v>
      </c>
      <c r="O1064" s="1" t="s">
        <v>2521</v>
      </c>
      <c r="P1064" s="1" t="s">
        <v>2762</v>
      </c>
      <c r="Q1064" s="1" t="s">
        <v>3035</v>
      </c>
      <c r="R1064" s="1" t="s">
        <v>4081</v>
      </c>
      <c r="S1064" s="1" t="s">
        <v>4937</v>
      </c>
      <c r="T1064" s="6">
        <v>44593</v>
      </c>
      <c r="U1064" s="6">
        <v>44597</v>
      </c>
      <c r="V1064" s="7">
        <v>0.75</v>
      </c>
      <c r="W1064" s="6">
        <v>44601</v>
      </c>
      <c r="X1064" s="7">
        <v>0</v>
      </c>
      <c r="Y1064" s="1" t="s">
        <v>4860</v>
      </c>
      <c r="Z1064" s="5">
        <v>340</v>
      </c>
      <c r="AA1064" s="1" t="s">
        <v>3403</v>
      </c>
      <c r="AB1064" s="1"/>
      <c r="AC1064" s="1"/>
      <c r="AD1064" s="1"/>
      <c r="AE1064" s="1" t="s">
        <v>3767</v>
      </c>
      <c r="AF1064" s="1" t="s">
        <v>9</v>
      </c>
      <c r="AG1064" s="1" t="s">
        <v>9</v>
      </c>
      <c r="AH1064" s="1"/>
      <c r="AI1064" s="6">
        <v>44926</v>
      </c>
    </row>
    <row r="1065" spans="1:35" x14ac:dyDescent="0.3">
      <c r="A1065" s="1" t="s">
        <v>1426</v>
      </c>
      <c r="B1065" s="2" t="str">
        <f>HYPERLINK("https://my.zakupki.prom.ua/remote/dispatcher/state_purchase_view/34678917")</f>
        <v>https://my.zakupki.prom.ua/remote/dispatcher/state_purchase_view/34678917</v>
      </c>
      <c r="C1065" s="1" t="s">
        <v>3343</v>
      </c>
      <c r="D1065" s="1" t="s">
        <v>702</v>
      </c>
      <c r="E1065" s="4">
        <v>5</v>
      </c>
      <c r="F1065" s="5">
        <v>5600</v>
      </c>
      <c r="G1065" s="1" t="s">
        <v>4991</v>
      </c>
      <c r="H1065" s="1" t="s">
        <v>23</v>
      </c>
      <c r="I1065" s="1" t="s">
        <v>2391</v>
      </c>
      <c r="J1065" s="5">
        <v>28000</v>
      </c>
      <c r="K1065" s="1" t="s">
        <v>3394</v>
      </c>
      <c r="L1065" s="5">
        <v>140</v>
      </c>
      <c r="M1065" s="1" t="s">
        <v>2308</v>
      </c>
      <c r="N1065" s="1" t="s">
        <v>3983</v>
      </c>
      <c r="O1065" s="1" t="s">
        <v>2521</v>
      </c>
      <c r="P1065" s="1" t="s">
        <v>3956</v>
      </c>
      <c r="Q1065" s="1" t="s">
        <v>3035</v>
      </c>
      <c r="R1065" s="1" t="s">
        <v>4077</v>
      </c>
      <c r="S1065" s="1" t="s">
        <v>4937</v>
      </c>
      <c r="T1065" s="6">
        <v>44593</v>
      </c>
      <c r="U1065" s="6">
        <v>44599</v>
      </c>
      <c r="V1065" s="7">
        <v>0.41666666666666669</v>
      </c>
      <c r="W1065" s="6">
        <v>44602</v>
      </c>
      <c r="X1065" s="7">
        <v>0.41666666666666669</v>
      </c>
      <c r="Y1065" s="1" t="s">
        <v>4860</v>
      </c>
      <c r="Z1065" s="5">
        <v>119</v>
      </c>
      <c r="AA1065" s="1" t="s">
        <v>3403</v>
      </c>
      <c r="AB1065" s="1"/>
      <c r="AC1065" s="1"/>
      <c r="AD1065" s="1"/>
      <c r="AE1065" s="1" t="s">
        <v>3771</v>
      </c>
      <c r="AF1065" s="1" t="s">
        <v>9</v>
      </c>
      <c r="AG1065" s="4">
        <v>2</v>
      </c>
      <c r="AH1065" s="6">
        <v>44613</v>
      </c>
      <c r="AI1065" s="6">
        <v>44620</v>
      </c>
    </row>
    <row r="1066" spans="1:35" x14ac:dyDescent="0.3">
      <c r="A1066" s="1" t="s">
        <v>1319</v>
      </c>
      <c r="B1066" s="2" t="str">
        <f>HYPERLINK("https://my.zakupki.prom.ua/remote/dispatcher/state_purchase_view/34678914")</f>
        <v>https://my.zakupki.prom.ua/remote/dispatcher/state_purchase_view/34678914</v>
      </c>
      <c r="C1066" s="1" t="s">
        <v>3592</v>
      </c>
      <c r="D1066" s="1" t="s">
        <v>1254</v>
      </c>
      <c r="E1066" s="4">
        <v>715</v>
      </c>
      <c r="F1066" s="5">
        <v>500</v>
      </c>
      <c r="G1066" s="1" t="s">
        <v>4873</v>
      </c>
      <c r="H1066" s="1" t="s">
        <v>236</v>
      </c>
      <c r="I1066" s="1" t="s">
        <v>2977</v>
      </c>
      <c r="J1066" s="5">
        <v>357500</v>
      </c>
      <c r="K1066" s="1" t="s">
        <v>3394</v>
      </c>
      <c r="L1066" s="5">
        <v>1787.5</v>
      </c>
      <c r="M1066" s="1" t="s">
        <v>2308</v>
      </c>
      <c r="N1066" s="1" t="s">
        <v>3983</v>
      </c>
      <c r="O1066" s="1" t="s">
        <v>2521</v>
      </c>
      <c r="P1066" s="1" t="s">
        <v>3956</v>
      </c>
      <c r="Q1066" s="1" t="s">
        <v>3426</v>
      </c>
      <c r="R1066" s="1" t="s">
        <v>4557</v>
      </c>
      <c r="S1066" s="1" t="s">
        <v>4937</v>
      </c>
      <c r="T1066" s="6">
        <v>44593</v>
      </c>
      <c r="U1066" s="6">
        <v>44599</v>
      </c>
      <c r="V1066" s="7">
        <v>0.45876157407407409</v>
      </c>
      <c r="W1066" s="6">
        <v>44608</v>
      </c>
      <c r="X1066" s="7">
        <v>0.45876157407407409</v>
      </c>
      <c r="Y1066" s="1" t="s">
        <v>4860</v>
      </c>
      <c r="Z1066" s="5">
        <v>510</v>
      </c>
      <c r="AA1066" s="1" t="s">
        <v>3403</v>
      </c>
      <c r="AB1066" s="1"/>
      <c r="AC1066" s="1"/>
      <c r="AD1066" s="1"/>
      <c r="AE1066" s="1" t="s">
        <v>3739</v>
      </c>
      <c r="AF1066" s="1" t="s">
        <v>9</v>
      </c>
      <c r="AG1066" s="4">
        <v>30</v>
      </c>
      <c r="AH1066" s="1"/>
      <c r="AI1066" s="6">
        <v>44926</v>
      </c>
    </row>
    <row r="1067" spans="1:35" x14ac:dyDescent="0.3">
      <c r="A1067" s="1" t="s">
        <v>1433</v>
      </c>
      <c r="B1067" s="2" t="str">
        <f>HYPERLINK("https://my.zakupki.prom.ua/remote/dispatcher/state_purchase_view/34678904")</f>
        <v>https://my.zakupki.prom.ua/remote/dispatcher/state_purchase_view/34678904</v>
      </c>
      <c r="C1067" s="1" t="s">
        <v>2475</v>
      </c>
      <c r="D1067" s="1" t="s">
        <v>522</v>
      </c>
      <c r="E1067" s="1" t="s">
        <v>4903</v>
      </c>
      <c r="F1067" s="1" t="s">
        <v>4903</v>
      </c>
      <c r="G1067" s="1" t="s">
        <v>4903</v>
      </c>
      <c r="H1067" s="1" t="s">
        <v>943</v>
      </c>
      <c r="I1067" s="1" t="s">
        <v>2389</v>
      </c>
      <c r="J1067" s="5">
        <v>35200</v>
      </c>
      <c r="K1067" s="1" t="s">
        <v>3394</v>
      </c>
      <c r="L1067" s="5">
        <v>352</v>
      </c>
      <c r="M1067" s="1" t="s">
        <v>2308</v>
      </c>
      <c r="N1067" s="1" t="s">
        <v>3403</v>
      </c>
      <c r="O1067" s="1" t="s">
        <v>2521</v>
      </c>
      <c r="P1067" s="1" t="s">
        <v>2515</v>
      </c>
      <c r="Q1067" s="1" t="s">
        <v>2820</v>
      </c>
      <c r="R1067" s="1" t="s">
        <v>4081</v>
      </c>
      <c r="S1067" s="1" t="s">
        <v>4971</v>
      </c>
      <c r="T1067" s="6">
        <v>44593</v>
      </c>
      <c r="U1067" s="6">
        <v>44593</v>
      </c>
      <c r="V1067" s="7">
        <v>0.45982638888888888</v>
      </c>
      <c r="W1067" s="6">
        <v>44610</v>
      </c>
      <c r="X1067" s="7">
        <v>0.41666666666666669</v>
      </c>
      <c r="Y1067" s="8">
        <v>44613.560856481483</v>
      </c>
      <c r="Z1067" s="5">
        <v>119</v>
      </c>
      <c r="AA1067" s="1" t="s">
        <v>3403</v>
      </c>
      <c r="AB1067" s="1"/>
      <c r="AC1067" s="1"/>
      <c r="AD1067" s="1"/>
      <c r="AE1067" s="1" t="s">
        <v>3780</v>
      </c>
      <c r="AF1067" s="1" t="s">
        <v>9</v>
      </c>
      <c r="AG1067" s="4">
        <v>14</v>
      </c>
      <c r="AH1067" s="1"/>
      <c r="AI1067" s="6">
        <v>44926</v>
      </c>
    </row>
    <row r="1068" spans="1:35" x14ac:dyDescent="0.3">
      <c r="A1068" s="1" t="s">
        <v>1315</v>
      </c>
      <c r="B1068" s="2" t="str">
        <f>HYPERLINK("https://my.zakupki.prom.ua/remote/dispatcher/state_purchase_view/34678873")</f>
        <v>https://my.zakupki.prom.ua/remote/dispatcher/state_purchase_view/34678873</v>
      </c>
      <c r="C1068" s="1" t="s">
        <v>3338</v>
      </c>
      <c r="D1068" s="1" t="s">
        <v>471</v>
      </c>
      <c r="E1068" s="1" t="s">
        <v>4903</v>
      </c>
      <c r="F1068" s="1" t="s">
        <v>4903</v>
      </c>
      <c r="G1068" s="1" t="s">
        <v>4903</v>
      </c>
      <c r="H1068" s="1" t="s">
        <v>312</v>
      </c>
      <c r="I1068" s="1" t="s">
        <v>3293</v>
      </c>
      <c r="J1068" s="5">
        <v>108000</v>
      </c>
      <c r="K1068" s="1" t="s">
        <v>3394</v>
      </c>
      <c r="L1068" s="5">
        <v>540</v>
      </c>
      <c r="M1068" s="1" t="s">
        <v>2308</v>
      </c>
      <c r="N1068" s="1" t="s">
        <v>3403</v>
      </c>
      <c r="O1068" s="1" t="s">
        <v>2521</v>
      </c>
      <c r="P1068" s="1" t="s">
        <v>3956</v>
      </c>
      <c r="Q1068" s="1" t="s">
        <v>4834</v>
      </c>
      <c r="R1068" s="1" t="s">
        <v>4437</v>
      </c>
      <c r="S1068" s="1" t="s">
        <v>4937</v>
      </c>
      <c r="T1068" s="6">
        <v>44593</v>
      </c>
      <c r="U1068" s="6">
        <v>44599</v>
      </c>
      <c r="V1068" s="7">
        <v>0.37847222222222221</v>
      </c>
      <c r="W1068" s="6">
        <v>44603</v>
      </c>
      <c r="X1068" s="7">
        <v>0.37847222222222221</v>
      </c>
      <c r="Y1068" s="1" t="s">
        <v>4860</v>
      </c>
      <c r="Z1068" s="5">
        <v>340</v>
      </c>
      <c r="AA1068" s="1" t="s">
        <v>3403</v>
      </c>
      <c r="AB1068" s="1"/>
      <c r="AC1068" s="1"/>
      <c r="AD1068" s="1"/>
      <c r="AE1068" s="1" t="s">
        <v>3779</v>
      </c>
      <c r="AF1068" s="1" t="s">
        <v>9</v>
      </c>
      <c r="AG1068" s="1" t="s">
        <v>9</v>
      </c>
      <c r="AH1068" s="1"/>
      <c r="AI1068" s="6">
        <v>44926</v>
      </c>
    </row>
    <row r="1069" spans="1:35" x14ac:dyDescent="0.3">
      <c r="A1069" s="1" t="s">
        <v>1701</v>
      </c>
      <c r="B1069" s="2" t="str">
        <f>HYPERLINK("https://my.zakupki.prom.ua/remote/dispatcher/state_purchase_view/34678883")</f>
        <v>https://my.zakupki.prom.ua/remote/dispatcher/state_purchase_view/34678883</v>
      </c>
      <c r="C1069" s="1" t="s">
        <v>1048</v>
      </c>
      <c r="D1069" s="1" t="s">
        <v>1049</v>
      </c>
      <c r="E1069" s="1" t="s">
        <v>4903</v>
      </c>
      <c r="F1069" s="1" t="s">
        <v>4903</v>
      </c>
      <c r="G1069" s="1" t="s">
        <v>4903</v>
      </c>
      <c r="H1069" s="1" t="s">
        <v>14</v>
      </c>
      <c r="I1069" s="1" t="s">
        <v>3468</v>
      </c>
      <c r="J1069" s="5">
        <v>3880</v>
      </c>
      <c r="K1069" s="1" t="s">
        <v>3394</v>
      </c>
      <c r="L1069" s="5">
        <v>38.799999999999997</v>
      </c>
      <c r="M1069" s="1" t="s">
        <v>2308</v>
      </c>
      <c r="N1069" s="1" t="s">
        <v>3403</v>
      </c>
      <c r="O1069" s="1" t="s">
        <v>2521</v>
      </c>
      <c r="P1069" s="1" t="s">
        <v>3956</v>
      </c>
      <c r="Q1069" s="1" t="s">
        <v>3035</v>
      </c>
      <c r="R1069" s="1" t="s">
        <v>4081</v>
      </c>
      <c r="S1069" s="1" t="s">
        <v>4937</v>
      </c>
      <c r="T1069" s="6">
        <v>44593</v>
      </c>
      <c r="U1069" s="6">
        <v>44599</v>
      </c>
      <c r="V1069" s="7">
        <v>0.5</v>
      </c>
      <c r="W1069" s="6">
        <v>44602</v>
      </c>
      <c r="X1069" s="7">
        <v>0</v>
      </c>
      <c r="Y1069" s="1" t="s">
        <v>4860</v>
      </c>
      <c r="Z1069" s="5">
        <v>17</v>
      </c>
      <c r="AA1069" s="1" t="s">
        <v>3403</v>
      </c>
      <c r="AB1069" s="1"/>
      <c r="AC1069" s="1"/>
      <c r="AD1069" s="1"/>
      <c r="AE1069" s="1" t="s">
        <v>3783</v>
      </c>
      <c r="AF1069" s="1" t="s">
        <v>9</v>
      </c>
      <c r="AG1069" s="4">
        <v>253</v>
      </c>
      <c r="AH1069" s="1"/>
      <c r="AI1069" s="6">
        <v>44926</v>
      </c>
    </row>
    <row r="1070" spans="1:35" x14ac:dyDescent="0.3">
      <c r="A1070" s="1" t="s">
        <v>1320</v>
      </c>
      <c r="B1070" s="2" t="str">
        <f>HYPERLINK("https://my.zakupki.prom.ua/remote/dispatcher/state_purchase_view/34678865")</f>
        <v>https://my.zakupki.prom.ua/remote/dispatcher/state_purchase_view/34678865</v>
      </c>
      <c r="C1070" s="1" t="s">
        <v>2626</v>
      </c>
      <c r="D1070" s="1" t="s">
        <v>1118</v>
      </c>
      <c r="E1070" s="1" t="s">
        <v>4903</v>
      </c>
      <c r="F1070" s="1" t="s">
        <v>4903</v>
      </c>
      <c r="G1070" s="1" t="s">
        <v>4903</v>
      </c>
      <c r="H1070" s="1" t="s">
        <v>242</v>
      </c>
      <c r="I1070" s="1" t="s">
        <v>2341</v>
      </c>
      <c r="J1070" s="5">
        <v>85000</v>
      </c>
      <c r="K1070" s="1" t="s">
        <v>3394</v>
      </c>
      <c r="L1070" s="5">
        <v>425</v>
      </c>
      <c r="M1070" s="1" t="s">
        <v>2308</v>
      </c>
      <c r="N1070" s="1" t="s">
        <v>3983</v>
      </c>
      <c r="O1070" s="1" t="s">
        <v>2521</v>
      </c>
      <c r="P1070" s="1" t="s">
        <v>3956</v>
      </c>
      <c r="Q1070" s="1" t="s">
        <v>2497</v>
      </c>
      <c r="R1070" s="1" t="s">
        <v>4075</v>
      </c>
      <c r="S1070" s="1" t="s">
        <v>4937</v>
      </c>
      <c r="T1070" s="6">
        <v>44593</v>
      </c>
      <c r="U1070" s="6">
        <v>44599</v>
      </c>
      <c r="V1070" s="7">
        <v>0.41666666666666669</v>
      </c>
      <c r="W1070" s="6">
        <v>44602</v>
      </c>
      <c r="X1070" s="7">
        <v>0.41666666666666669</v>
      </c>
      <c r="Y1070" s="1" t="s">
        <v>4860</v>
      </c>
      <c r="Z1070" s="5">
        <v>340</v>
      </c>
      <c r="AA1070" s="1" t="s">
        <v>3403</v>
      </c>
      <c r="AB1070" s="1"/>
      <c r="AC1070" s="1"/>
      <c r="AD1070" s="1"/>
      <c r="AE1070" s="1" t="s">
        <v>3787</v>
      </c>
      <c r="AF1070" s="1" t="s">
        <v>9</v>
      </c>
      <c r="AG1070" s="4">
        <v>1</v>
      </c>
      <c r="AH1070" s="6">
        <v>44621</v>
      </c>
      <c r="AI1070" s="6">
        <v>44712</v>
      </c>
    </row>
    <row r="1071" spans="1:35" x14ac:dyDescent="0.3">
      <c r="A1071" s="1" t="s">
        <v>1413</v>
      </c>
      <c r="B1071" s="2" t="str">
        <f>HYPERLINK("https://my.zakupki.prom.ua/remote/dispatcher/state_purchase_view/34678864")</f>
        <v>https://my.zakupki.prom.ua/remote/dispatcher/state_purchase_view/34678864</v>
      </c>
      <c r="C1071" s="1" t="s">
        <v>2385</v>
      </c>
      <c r="D1071" s="1" t="s">
        <v>799</v>
      </c>
      <c r="E1071" s="4">
        <v>2000</v>
      </c>
      <c r="F1071" s="5">
        <v>35.200000000000003</v>
      </c>
      <c r="G1071" s="1" t="s">
        <v>2382</v>
      </c>
      <c r="H1071" s="1" t="s">
        <v>951</v>
      </c>
      <c r="I1071" s="1" t="s">
        <v>2850</v>
      </c>
      <c r="J1071" s="5">
        <v>70400</v>
      </c>
      <c r="K1071" s="1" t="s">
        <v>3394</v>
      </c>
      <c r="L1071" s="5">
        <v>352</v>
      </c>
      <c r="M1071" s="1" t="s">
        <v>2308</v>
      </c>
      <c r="N1071" s="1" t="s">
        <v>3983</v>
      </c>
      <c r="O1071" s="1" t="s">
        <v>2521</v>
      </c>
      <c r="P1071" s="1" t="s">
        <v>2515</v>
      </c>
      <c r="Q1071" s="1" t="s">
        <v>2820</v>
      </c>
      <c r="R1071" s="1" t="s">
        <v>4308</v>
      </c>
      <c r="S1071" s="1" t="s">
        <v>4971</v>
      </c>
      <c r="T1071" s="6">
        <v>44593</v>
      </c>
      <c r="U1071" s="6">
        <v>44593</v>
      </c>
      <c r="V1071" s="7">
        <v>0.45276242658564814</v>
      </c>
      <c r="W1071" s="6">
        <v>44610</v>
      </c>
      <c r="X1071" s="7">
        <v>0.45621527777777776</v>
      </c>
      <c r="Y1071" s="8">
        <v>44613.64434027778</v>
      </c>
      <c r="Z1071" s="5">
        <v>340</v>
      </c>
      <c r="AA1071" s="1" t="s">
        <v>3403</v>
      </c>
      <c r="AB1071" s="1"/>
      <c r="AC1071" s="1"/>
      <c r="AD1071" s="1"/>
      <c r="AE1071" s="1" t="s">
        <v>3787</v>
      </c>
      <c r="AF1071" s="1" t="s">
        <v>9</v>
      </c>
      <c r="AG1071" s="4">
        <v>11</v>
      </c>
      <c r="AH1071" s="1"/>
      <c r="AI1071" s="6">
        <v>44926</v>
      </c>
    </row>
    <row r="1072" spans="1:35" x14ac:dyDescent="0.3">
      <c r="A1072" s="1" t="s">
        <v>1434</v>
      </c>
      <c r="B1072" s="2" t="str">
        <f>HYPERLINK("https://my.zakupki.prom.ua/remote/dispatcher/state_purchase_view/34678863")</f>
        <v>https://my.zakupki.prom.ua/remote/dispatcher/state_purchase_view/34678863</v>
      </c>
      <c r="C1072" s="1" t="s">
        <v>2787</v>
      </c>
      <c r="D1072" s="1" t="s">
        <v>741</v>
      </c>
      <c r="E1072" s="4">
        <v>5</v>
      </c>
      <c r="F1072" s="5">
        <v>5720</v>
      </c>
      <c r="G1072" s="1" t="s">
        <v>4989</v>
      </c>
      <c r="H1072" s="1" t="s">
        <v>36</v>
      </c>
      <c r="I1072" s="1" t="s">
        <v>2691</v>
      </c>
      <c r="J1072" s="5">
        <v>28600</v>
      </c>
      <c r="K1072" s="1" t="s">
        <v>3394</v>
      </c>
      <c r="L1072" s="5">
        <v>143</v>
      </c>
      <c r="M1072" s="1" t="s">
        <v>2308</v>
      </c>
      <c r="N1072" s="1" t="s">
        <v>3403</v>
      </c>
      <c r="O1072" s="1" t="s">
        <v>2521</v>
      </c>
      <c r="P1072" s="1" t="s">
        <v>3956</v>
      </c>
      <c r="Q1072" s="1" t="s">
        <v>2756</v>
      </c>
      <c r="R1072" s="1" t="s">
        <v>4136</v>
      </c>
      <c r="S1072" s="1" t="s">
        <v>4937</v>
      </c>
      <c r="T1072" s="6">
        <v>44593</v>
      </c>
      <c r="U1072" s="6">
        <v>44599</v>
      </c>
      <c r="V1072" s="7">
        <v>0.58333333333333337</v>
      </c>
      <c r="W1072" s="6">
        <v>44602</v>
      </c>
      <c r="X1072" s="7">
        <v>4.1666666666666664E-2</v>
      </c>
      <c r="Y1072" s="1" t="s">
        <v>4860</v>
      </c>
      <c r="Z1072" s="5">
        <v>119</v>
      </c>
      <c r="AA1072" s="1" t="s">
        <v>3403</v>
      </c>
      <c r="AB1072" s="1"/>
      <c r="AC1072" s="1"/>
      <c r="AD1072" s="1"/>
      <c r="AE1072" s="1" t="s">
        <v>3801</v>
      </c>
      <c r="AF1072" s="1" t="s">
        <v>9</v>
      </c>
      <c r="AG1072" s="1" t="s">
        <v>9</v>
      </c>
      <c r="AH1072" s="1"/>
      <c r="AI1072" s="6">
        <v>44630</v>
      </c>
    </row>
    <row r="1073" spans="1:35" x14ac:dyDescent="0.3">
      <c r="A1073" s="1" t="s">
        <v>1681</v>
      </c>
      <c r="B1073" s="2" t="str">
        <f>HYPERLINK("https://my.zakupki.prom.ua/remote/dispatcher/state_purchase_view/34678824")</f>
        <v>https://my.zakupki.prom.ua/remote/dispatcher/state_purchase_view/34678824</v>
      </c>
      <c r="C1073" s="1" t="s">
        <v>2775</v>
      </c>
      <c r="D1073" s="1" t="s">
        <v>387</v>
      </c>
      <c r="E1073" s="4">
        <v>23400</v>
      </c>
      <c r="F1073" s="5">
        <v>5</v>
      </c>
      <c r="G1073" s="1" t="s">
        <v>4878</v>
      </c>
      <c r="H1073" s="1" t="s">
        <v>1087</v>
      </c>
      <c r="I1073" s="1" t="s">
        <v>3076</v>
      </c>
      <c r="J1073" s="5">
        <v>117000</v>
      </c>
      <c r="K1073" s="1" t="s">
        <v>3394</v>
      </c>
      <c r="L1073" s="5">
        <v>585</v>
      </c>
      <c r="M1073" s="1" t="s">
        <v>2308</v>
      </c>
      <c r="N1073" s="1" t="s">
        <v>3983</v>
      </c>
      <c r="O1073" s="1" t="s">
        <v>2521</v>
      </c>
      <c r="P1073" s="1" t="s">
        <v>3956</v>
      </c>
      <c r="Q1073" s="1" t="s">
        <v>2528</v>
      </c>
      <c r="R1073" s="1" t="s">
        <v>4101</v>
      </c>
      <c r="S1073" s="1" t="s">
        <v>4937</v>
      </c>
      <c r="T1073" s="6">
        <v>44593</v>
      </c>
      <c r="U1073" s="6">
        <v>44599</v>
      </c>
      <c r="V1073" s="7">
        <v>0.45969907407407407</v>
      </c>
      <c r="W1073" s="6">
        <v>44602</v>
      </c>
      <c r="X1073" s="7">
        <v>0.45969907407407407</v>
      </c>
      <c r="Y1073" s="1" t="s">
        <v>4860</v>
      </c>
      <c r="Z1073" s="5">
        <v>340</v>
      </c>
      <c r="AA1073" s="1" t="s">
        <v>3403</v>
      </c>
      <c r="AB1073" s="1"/>
      <c r="AC1073" s="1"/>
      <c r="AD1073" s="1"/>
      <c r="AE1073" s="1" t="s">
        <v>3797</v>
      </c>
      <c r="AF1073" s="1" t="s">
        <v>9</v>
      </c>
      <c r="AG1073" s="1" t="s">
        <v>9</v>
      </c>
      <c r="AH1073" s="1"/>
      <c r="AI1073" s="6">
        <v>44926</v>
      </c>
    </row>
    <row r="1074" spans="1:35" x14ac:dyDescent="0.3">
      <c r="A1074" s="1" t="s">
        <v>1684</v>
      </c>
      <c r="B1074" s="2" t="str">
        <f>HYPERLINK("https://my.zakupki.prom.ua/remote/dispatcher/state_purchase_view/34678817")</f>
        <v>https://my.zakupki.prom.ua/remote/dispatcher/state_purchase_view/34678817</v>
      </c>
      <c r="C1074" s="1" t="s">
        <v>4876</v>
      </c>
      <c r="D1074" s="1" t="s">
        <v>387</v>
      </c>
      <c r="E1074" s="4">
        <v>4700</v>
      </c>
      <c r="F1074" s="5">
        <v>6</v>
      </c>
      <c r="G1074" s="1" t="s">
        <v>4878</v>
      </c>
      <c r="H1074" s="1" t="s">
        <v>916</v>
      </c>
      <c r="I1074" s="1" t="s">
        <v>4720</v>
      </c>
      <c r="J1074" s="5">
        <v>28200</v>
      </c>
      <c r="K1074" s="1" t="s">
        <v>3394</v>
      </c>
      <c r="L1074" s="5">
        <v>282</v>
      </c>
      <c r="M1074" s="1" t="s">
        <v>2308</v>
      </c>
      <c r="N1074" s="1" t="s">
        <v>3983</v>
      </c>
      <c r="O1074" s="1" t="s">
        <v>2521</v>
      </c>
      <c r="P1074" s="1" t="s">
        <v>2515</v>
      </c>
      <c r="Q1074" s="1" t="s">
        <v>2334</v>
      </c>
      <c r="R1074" s="1" t="s">
        <v>4322</v>
      </c>
      <c r="S1074" s="1" t="s">
        <v>4971</v>
      </c>
      <c r="T1074" s="6">
        <v>44593</v>
      </c>
      <c r="U1074" s="6">
        <v>44593</v>
      </c>
      <c r="V1074" s="7">
        <v>0.4566202507638889</v>
      </c>
      <c r="W1074" s="6">
        <v>44609</v>
      </c>
      <c r="X1074" s="7">
        <v>0.91666666666666663</v>
      </c>
      <c r="Y1074" s="8">
        <v>44610.574699074074</v>
      </c>
      <c r="Z1074" s="5">
        <v>119</v>
      </c>
      <c r="AA1074" s="1" t="s">
        <v>3403</v>
      </c>
      <c r="AB1074" s="1"/>
      <c r="AC1074" s="1"/>
      <c r="AD1074" s="1"/>
      <c r="AE1074" s="1" t="s">
        <v>3776</v>
      </c>
      <c r="AF1074" s="1" t="s">
        <v>9</v>
      </c>
      <c r="AG1074" s="1" t="s">
        <v>9</v>
      </c>
      <c r="AH1074" s="1"/>
      <c r="AI1074" s="6">
        <v>44926</v>
      </c>
    </row>
    <row r="1075" spans="1:35" x14ac:dyDescent="0.3">
      <c r="A1075" s="1" t="s">
        <v>1323</v>
      </c>
      <c r="B1075" s="2" t="str">
        <f>HYPERLINK("https://my.zakupki.prom.ua/remote/dispatcher/state_purchase_view/34678812")</f>
        <v>https://my.zakupki.prom.ua/remote/dispatcher/state_purchase_view/34678812</v>
      </c>
      <c r="C1075" s="1" t="s">
        <v>3039</v>
      </c>
      <c r="D1075" s="1" t="s">
        <v>847</v>
      </c>
      <c r="E1075" s="4">
        <v>130</v>
      </c>
      <c r="F1075" s="5">
        <v>43200</v>
      </c>
      <c r="G1075" s="1" t="s">
        <v>4981</v>
      </c>
      <c r="H1075" s="1" t="s">
        <v>972</v>
      </c>
      <c r="I1075" s="1" t="s">
        <v>4759</v>
      </c>
      <c r="J1075" s="5">
        <v>5616000</v>
      </c>
      <c r="K1075" s="1" t="s">
        <v>3394</v>
      </c>
      <c r="L1075" s="5">
        <v>28080</v>
      </c>
      <c r="M1075" s="1" t="s">
        <v>2308</v>
      </c>
      <c r="N1075" s="1" t="s">
        <v>3983</v>
      </c>
      <c r="O1075" s="1" t="s">
        <v>1194</v>
      </c>
      <c r="P1075" s="1" t="s">
        <v>2516</v>
      </c>
      <c r="Q1075" s="1" t="s">
        <v>3035</v>
      </c>
      <c r="R1075" s="1" t="s">
        <v>4081</v>
      </c>
      <c r="S1075" s="1" t="s">
        <v>4971</v>
      </c>
      <c r="T1075" s="6">
        <v>44593</v>
      </c>
      <c r="U1075" s="6">
        <v>44593</v>
      </c>
      <c r="V1075" s="7">
        <v>0.45951388888888889</v>
      </c>
      <c r="W1075" s="6">
        <v>44624</v>
      </c>
      <c r="X1075" s="7">
        <v>0.41666666666666669</v>
      </c>
      <c r="Y1075" s="8">
        <v>44662.476238425923</v>
      </c>
      <c r="Z1075" s="5">
        <v>3400</v>
      </c>
      <c r="AA1075" s="1" t="s">
        <v>3403</v>
      </c>
      <c r="AB1075" s="1"/>
      <c r="AC1075" s="1"/>
      <c r="AD1075" s="1"/>
      <c r="AE1075" s="1" t="s">
        <v>3793</v>
      </c>
      <c r="AF1075" s="1" t="s">
        <v>9</v>
      </c>
      <c r="AG1075" s="4">
        <v>1638</v>
      </c>
      <c r="AH1075" s="1"/>
      <c r="AI1075" s="6">
        <v>44926</v>
      </c>
    </row>
    <row r="1076" spans="1:35" x14ac:dyDescent="0.3">
      <c r="A1076" s="1" t="s">
        <v>1417</v>
      </c>
      <c r="B1076" s="2" t="str">
        <f>HYPERLINK("https://my.zakupki.prom.ua/remote/dispatcher/state_purchase_view/34678778")</f>
        <v>https://my.zakupki.prom.ua/remote/dispatcher/state_purchase_view/34678778</v>
      </c>
      <c r="C1076" s="1" t="s">
        <v>2775</v>
      </c>
      <c r="D1076" s="1" t="s">
        <v>387</v>
      </c>
      <c r="E1076" s="4">
        <v>865000</v>
      </c>
      <c r="F1076" s="5">
        <v>4.8499999999999996</v>
      </c>
      <c r="G1076" s="1" t="s">
        <v>4879</v>
      </c>
      <c r="H1076" s="1" t="s">
        <v>332</v>
      </c>
      <c r="I1076" s="1" t="s">
        <v>3400</v>
      </c>
      <c r="J1076" s="5">
        <v>4195250</v>
      </c>
      <c r="K1076" s="1" t="s">
        <v>3394</v>
      </c>
      <c r="L1076" s="5">
        <v>42000</v>
      </c>
      <c r="M1076" s="1" t="s">
        <v>2308</v>
      </c>
      <c r="N1076" s="1" t="s">
        <v>3983</v>
      </c>
      <c r="O1076" s="1" t="s">
        <v>399</v>
      </c>
      <c r="P1076" s="1" t="s">
        <v>2515</v>
      </c>
      <c r="Q1076" s="1" t="s">
        <v>4798</v>
      </c>
      <c r="R1076" s="1" t="s">
        <v>4454</v>
      </c>
      <c r="S1076" s="1" t="s">
        <v>4971</v>
      </c>
      <c r="T1076" s="6">
        <v>44593</v>
      </c>
      <c r="U1076" s="6">
        <v>44593</v>
      </c>
      <c r="V1076" s="7">
        <v>0.4534016997569445</v>
      </c>
      <c r="W1076" s="6">
        <v>44609</v>
      </c>
      <c r="X1076" s="7">
        <v>0.45686342592592594</v>
      </c>
      <c r="Y1076" s="8">
        <v>44610.483738425923</v>
      </c>
      <c r="Z1076" s="5">
        <v>3400</v>
      </c>
      <c r="AA1076" s="1" t="s">
        <v>3403</v>
      </c>
      <c r="AB1076" s="1"/>
      <c r="AC1076" s="1"/>
      <c r="AD1076" s="1"/>
      <c r="AE1076" s="1" t="s">
        <v>3799</v>
      </c>
      <c r="AF1076" s="1" t="s">
        <v>9</v>
      </c>
      <c r="AG1076" s="4">
        <v>20</v>
      </c>
      <c r="AH1076" s="1"/>
      <c r="AI1076" s="6">
        <v>44926</v>
      </c>
    </row>
    <row r="1077" spans="1:35" x14ac:dyDescent="0.3">
      <c r="A1077" s="1" t="s">
        <v>1400</v>
      </c>
      <c r="B1077" s="2" t="str">
        <f>HYPERLINK("https://my.zakupki.prom.ua/remote/dispatcher/state_purchase_view/34678774")</f>
        <v>https://my.zakupki.prom.ua/remote/dispatcher/state_purchase_view/34678774</v>
      </c>
      <c r="C1077" s="1" t="s">
        <v>387</v>
      </c>
      <c r="D1077" s="1" t="s">
        <v>387</v>
      </c>
      <c r="E1077" s="4">
        <v>89285</v>
      </c>
      <c r="F1077" s="5">
        <v>1.68</v>
      </c>
      <c r="G1077" s="1" t="s">
        <v>3235</v>
      </c>
      <c r="H1077" s="1" t="s">
        <v>141</v>
      </c>
      <c r="I1077" s="1" t="s">
        <v>3203</v>
      </c>
      <c r="J1077" s="5">
        <v>150000</v>
      </c>
      <c r="K1077" s="1" t="s">
        <v>3394</v>
      </c>
      <c r="L1077" s="5">
        <v>750</v>
      </c>
      <c r="M1077" s="1" t="s">
        <v>2308</v>
      </c>
      <c r="N1077" s="1" t="s">
        <v>3983</v>
      </c>
      <c r="O1077" s="1" t="s">
        <v>2521</v>
      </c>
      <c r="P1077" s="1" t="s">
        <v>2515</v>
      </c>
      <c r="Q1077" s="1" t="s">
        <v>4834</v>
      </c>
      <c r="R1077" s="1" t="s">
        <v>4081</v>
      </c>
      <c r="S1077" s="1" t="s">
        <v>4971</v>
      </c>
      <c r="T1077" s="6">
        <v>44593</v>
      </c>
      <c r="U1077" s="6">
        <v>44593</v>
      </c>
      <c r="V1077" s="7">
        <v>0.45173786232638891</v>
      </c>
      <c r="W1077" s="6">
        <v>44609</v>
      </c>
      <c r="X1077" s="7">
        <v>0</v>
      </c>
      <c r="Y1077" s="8">
        <v>44609.476990740739</v>
      </c>
      <c r="Z1077" s="5">
        <v>340</v>
      </c>
      <c r="AA1077" s="1" t="s">
        <v>3403</v>
      </c>
      <c r="AB1077" s="1"/>
      <c r="AC1077" s="1"/>
      <c r="AD1077" s="1"/>
      <c r="AE1077" s="1" t="s">
        <v>3776</v>
      </c>
      <c r="AF1077" s="1" t="s">
        <v>9</v>
      </c>
      <c r="AG1077" s="1" t="s">
        <v>9</v>
      </c>
      <c r="AH1077" s="1"/>
      <c r="AI1077" s="6">
        <v>44926</v>
      </c>
    </row>
    <row r="1078" spans="1:35" x14ac:dyDescent="0.3">
      <c r="A1078" s="1" t="s">
        <v>1709</v>
      </c>
      <c r="B1078" s="2" t="str">
        <f>HYPERLINK("https://my.zakupki.prom.ua/remote/dispatcher/state_purchase_view/34678754")</f>
        <v>https://my.zakupki.prom.ua/remote/dispatcher/state_purchase_view/34678754</v>
      </c>
      <c r="C1078" s="1" t="s">
        <v>4010</v>
      </c>
      <c r="D1078" s="1" t="s">
        <v>461</v>
      </c>
      <c r="E1078" s="4">
        <v>390</v>
      </c>
      <c r="F1078" s="5">
        <v>60</v>
      </c>
      <c r="G1078" s="1" t="s">
        <v>4901</v>
      </c>
      <c r="H1078" s="1" t="s">
        <v>1070</v>
      </c>
      <c r="I1078" s="1" t="s">
        <v>2437</v>
      </c>
      <c r="J1078" s="5">
        <v>23400</v>
      </c>
      <c r="K1078" s="1" t="s">
        <v>3394</v>
      </c>
      <c r="L1078" s="5">
        <v>117</v>
      </c>
      <c r="M1078" s="1" t="s">
        <v>2308</v>
      </c>
      <c r="N1078" s="1" t="s">
        <v>3983</v>
      </c>
      <c r="O1078" s="1" t="s">
        <v>2521</v>
      </c>
      <c r="P1078" s="1" t="s">
        <v>3956</v>
      </c>
      <c r="Q1078" s="1" t="s">
        <v>4831</v>
      </c>
      <c r="R1078" s="1" t="s">
        <v>4106</v>
      </c>
      <c r="S1078" s="1" t="s">
        <v>4937</v>
      </c>
      <c r="T1078" s="6">
        <v>44593</v>
      </c>
      <c r="U1078" s="6">
        <v>44599</v>
      </c>
      <c r="V1078" s="7">
        <v>0.5</v>
      </c>
      <c r="W1078" s="6">
        <v>44602</v>
      </c>
      <c r="X1078" s="7">
        <v>0</v>
      </c>
      <c r="Y1078" s="1" t="s">
        <v>4860</v>
      </c>
      <c r="Z1078" s="5">
        <v>119</v>
      </c>
      <c r="AA1078" s="1" t="s">
        <v>3403</v>
      </c>
      <c r="AB1078" s="1"/>
      <c r="AC1078" s="1"/>
      <c r="AD1078" s="1"/>
      <c r="AE1078" s="1" t="s">
        <v>3801</v>
      </c>
      <c r="AF1078" s="1" t="s">
        <v>9</v>
      </c>
      <c r="AG1078" s="4">
        <v>3</v>
      </c>
      <c r="AH1078" s="1"/>
      <c r="AI1078" s="6">
        <v>44926</v>
      </c>
    </row>
    <row r="1079" spans="1:35" x14ac:dyDescent="0.3">
      <c r="A1079" s="1" t="s">
        <v>1654</v>
      </c>
      <c r="B1079" s="2" t="str">
        <f>HYPERLINK("https://my.zakupki.prom.ua/remote/dispatcher/state_purchase_view/34678744")</f>
        <v>https://my.zakupki.prom.ua/remote/dispatcher/state_purchase_view/34678744</v>
      </c>
      <c r="C1079" s="1" t="s">
        <v>3544</v>
      </c>
      <c r="D1079" s="1" t="s">
        <v>1285</v>
      </c>
      <c r="E1079" s="4">
        <v>1</v>
      </c>
      <c r="F1079" s="5">
        <v>46100</v>
      </c>
      <c r="G1079" s="1" t="s">
        <v>4940</v>
      </c>
      <c r="H1079" s="1" t="s">
        <v>127</v>
      </c>
      <c r="I1079" s="1" t="s">
        <v>3115</v>
      </c>
      <c r="J1079" s="5">
        <v>46100</v>
      </c>
      <c r="K1079" s="1" t="s">
        <v>3394</v>
      </c>
      <c r="L1079" s="5">
        <v>230.5</v>
      </c>
      <c r="M1079" s="1" t="s">
        <v>2308</v>
      </c>
      <c r="N1079" s="1" t="s">
        <v>3983</v>
      </c>
      <c r="O1079" s="1" t="s">
        <v>2521</v>
      </c>
      <c r="P1079" s="1" t="s">
        <v>3956</v>
      </c>
      <c r="Q1079" s="1" t="s">
        <v>3970</v>
      </c>
      <c r="R1079" s="1" t="s">
        <v>4362</v>
      </c>
      <c r="S1079" s="1" t="s">
        <v>4937</v>
      </c>
      <c r="T1079" s="6">
        <v>44593</v>
      </c>
      <c r="U1079" s="6">
        <v>44599</v>
      </c>
      <c r="V1079" s="7">
        <v>0</v>
      </c>
      <c r="W1079" s="6">
        <v>44602</v>
      </c>
      <c r="X1079" s="7">
        <v>0</v>
      </c>
      <c r="Y1079" s="1" t="s">
        <v>4860</v>
      </c>
      <c r="Z1079" s="5">
        <v>119</v>
      </c>
      <c r="AA1079" s="1" t="s">
        <v>3403</v>
      </c>
      <c r="AB1079" s="1"/>
      <c r="AC1079" s="1"/>
      <c r="AD1079" s="1"/>
      <c r="AE1079" s="1" t="s">
        <v>3727</v>
      </c>
      <c r="AF1079" s="1" t="s">
        <v>9</v>
      </c>
      <c r="AG1079" s="1" t="s">
        <v>9</v>
      </c>
      <c r="AH1079" s="1"/>
      <c r="AI1079" s="6">
        <v>44926</v>
      </c>
    </row>
    <row r="1080" spans="1:35" x14ac:dyDescent="0.3">
      <c r="A1080" s="1" t="s">
        <v>1383</v>
      </c>
      <c r="B1080" s="2" t="str">
        <f>HYPERLINK("https://my.zakupki.prom.ua/remote/dispatcher/state_purchase_view/34678748")</f>
        <v>https://my.zakupki.prom.ua/remote/dispatcher/state_purchase_view/34678748</v>
      </c>
      <c r="C1080" s="1" t="s">
        <v>3838</v>
      </c>
      <c r="D1080" s="1" t="s">
        <v>1137</v>
      </c>
      <c r="E1080" s="4">
        <v>1</v>
      </c>
      <c r="F1080" s="5">
        <v>18791126</v>
      </c>
      <c r="G1080" s="1" t="s">
        <v>4896</v>
      </c>
      <c r="H1080" s="1" t="s">
        <v>21</v>
      </c>
      <c r="I1080" s="1" t="s">
        <v>3467</v>
      </c>
      <c r="J1080" s="5">
        <v>18791126</v>
      </c>
      <c r="K1080" s="1" t="s">
        <v>3394</v>
      </c>
      <c r="L1080" s="5">
        <v>187911.26</v>
      </c>
      <c r="M1080" s="1" t="s">
        <v>2308</v>
      </c>
      <c r="N1080" s="1" t="s">
        <v>3983</v>
      </c>
      <c r="O1080" s="1" t="s">
        <v>1296</v>
      </c>
      <c r="P1080" s="1" t="s">
        <v>2515</v>
      </c>
      <c r="Q1080" s="1" t="s">
        <v>3264</v>
      </c>
      <c r="R1080" s="1" t="s">
        <v>4081</v>
      </c>
      <c r="S1080" s="1" t="s">
        <v>4971</v>
      </c>
      <c r="T1080" s="6">
        <v>44593</v>
      </c>
      <c r="U1080" s="6">
        <v>44593</v>
      </c>
      <c r="V1080" s="7">
        <v>0.4463561329166667</v>
      </c>
      <c r="W1080" s="6">
        <v>44609</v>
      </c>
      <c r="X1080" s="7">
        <v>0.41666666666666669</v>
      </c>
      <c r="Y1080" s="8">
        <v>44610.559560185182</v>
      </c>
      <c r="Z1080" s="5">
        <v>3400</v>
      </c>
      <c r="AA1080" s="1" t="s">
        <v>3403</v>
      </c>
      <c r="AB1080" s="1"/>
      <c r="AC1080" s="1"/>
      <c r="AD1080" s="1"/>
      <c r="AE1080" s="1" t="s">
        <v>3720</v>
      </c>
      <c r="AF1080" s="1" t="s">
        <v>9</v>
      </c>
      <c r="AG1080" s="4">
        <v>40</v>
      </c>
      <c r="AH1080" s="1"/>
      <c r="AI1080" s="6">
        <v>44926</v>
      </c>
    </row>
    <row r="1081" spans="1:35" x14ac:dyDescent="0.3">
      <c r="A1081" s="1" t="s">
        <v>1688</v>
      </c>
      <c r="B1081" s="2" t="str">
        <f>HYPERLINK("https://my.zakupki.prom.ua/remote/dispatcher/state_purchase_lot_view/740592")</f>
        <v>https://my.zakupki.prom.ua/remote/dispatcher/state_purchase_lot_view/740592</v>
      </c>
      <c r="C1081" s="1" t="s">
        <v>3883</v>
      </c>
      <c r="D1081" s="1" t="s">
        <v>825</v>
      </c>
      <c r="E1081" s="4">
        <v>40</v>
      </c>
      <c r="F1081" s="5">
        <v>20.83</v>
      </c>
      <c r="G1081" s="1" t="s">
        <v>4989</v>
      </c>
      <c r="H1081" s="1" t="s">
        <v>352</v>
      </c>
      <c r="I1081" s="1" t="s">
        <v>4715</v>
      </c>
      <c r="J1081" s="5">
        <v>47725.8</v>
      </c>
      <c r="K1081" s="5">
        <v>833.2</v>
      </c>
      <c r="L1081" s="5">
        <v>8.33</v>
      </c>
      <c r="M1081" s="1" t="s">
        <v>2308</v>
      </c>
      <c r="N1081" s="1" t="s">
        <v>3403</v>
      </c>
      <c r="O1081" s="1" t="s">
        <v>2521</v>
      </c>
      <c r="P1081" s="1" t="s">
        <v>2762</v>
      </c>
      <c r="Q1081" s="1" t="s">
        <v>3325</v>
      </c>
      <c r="R1081" s="1" t="s">
        <v>4081</v>
      </c>
      <c r="S1081" s="1" t="s">
        <v>4937</v>
      </c>
      <c r="T1081" s="6">
        <v>44593</v>
      </c>
      <c r="U1081" s="6">
        <v>44600</v>
      </c>
      <c r="V1081" s="7">
        <v>0.70833333333333337</v>
      </c>
      <c r="W1081" s="6">
        <v>44603</v>
      </c>
      <c r="X1081" s="7">
        <v>0.70833333333333337</v>
      </c>
      <c r="Y1081" s="1" t="s">
        <v>4860</v>
      </c>
      <c r="Z1081" s="5">
        <v>17</v>
      </c>
      <c r="AA1081" s="1" t="s">
        <v>3403</v>
      </c>
      <c r="AB1081" s="1"/>
      <c r="AC1081" s="1"/>
      <c r="AD1081" s="1"/>
      <c r="AE1081" s="1" t="s">
        <v>3813</v>
      </c>
      <c r="AF1081" s="1" t="s">
        <v>9</v>
      </c>
      <c r="AG1081" s="1" t="s">
        <v>9</v>
      </c>
      <c r="AH1081" s="1"/>
      <c r="AI1081" s="1"/>
    </row>
    <row r="1082" spans="1:35" x14ac:dyDescent="0.3">
      <c r="A1082" s="1" t="s">
        <v>1688</v>
      </c>
      <c r="B1082" s="2" t="str">
        <f>HYPERLINK("https://my.zakupki.prom.ua/remote/dispatcher/state_purchase_lot_view/740593")</f>
        <v>https://my.zakupki.prom.ua/remote/dispatcher/state_purchase_lot_view/740593</v>
      </c>
      <c r="C1082" s="1" t="s">
        <v>3893</v>
      </c>
      <c r="D1082" s="1" t="s">
        <v>825</v>
      </c>
      <c r="E1082" s="4">
        <v>120</v>
      </c>
      <c r="F1082" s="5">
        <v>37.83</v>
      </c>
      <c r="G1082" s="1" t="s">
        <v>4989</v>
      </c>
      <c r="H1082" s="1" t="s">
        <v>352</v>
      </c>
      <c r="I1082" s="1" t="s">
        <v>4715</v>
      </c>
      <c r="J1082" s="5">
        <v>47725.8</v>
      </c>
      <c r="K1082" s="5">
        <v>4539.6000000000004</v>
      </c>
      <c r="L1082" s="5">
        <v>45.4</v>
      </c>
      <c r="M1082" s="1" t="s">
        <v>2308</v>
      </c>
      <c r="N1082" s="1" t="s">
        <v>3403</v>
      </c>
      <c r="O1082" s="1" t="s">
        <v>2521</v>
      </c>
      <c r="P1082" s="1" t="s">
        <v>2762</v>
      </c>
      <c r="Q1082" s="1" t="s">
        <v>3325</v>
      </c>
      <c r="R1082" s="1" t="s">
        <v>4081</v>
      </c>
      <c r="S1082" s="1" t="s">
        <v>4937</v>
      </c>
      <c r="T1082" s="6">
        <v>44593</v>
      </c>
      <c r="U1082" s="6">
        <v>44600</v>
      </c>
      <c r="V1082" s="7">
        <v>0.70833333333333337</v>
      </c>
      <c r="W1082" s="6">
        <v>44603</v>
      </c>
      <c r="X1082" s="7">
        <v>0.70833333333333337</v>
      </c>
      <c r="Y1082" s="1" t="s">
        <v>4860</v>
      </c>
      <c r="Z1082" s="5">
        <v>17</v>
      </c>
      <c r="AA1082" s="1" t="s">
        <v>3403</v>
      </c>
      <c r="AB1082" s="1"/>
      <c r="AC1082" s="1"/>
      <c r="AD1082" s="1"/>
      <c r="AE1082" s="1" t="s">
        <v>3813</v>
      </c>
      <c r="AF1082" s="1" t="s">
        <v>9</v>
      </c>
      <c r="AG1082" s="1" t="s">
        <v>9</v>
      </c>
      <c r="AH1082" s="1"/>
      <c r="AI1082" s="1"/>
    </row>
    <row r="1083" spans="1:35" x14ac:dyDescent="0.3">
      <c r="A1083" s="1" t="s">
        <v>1688</v>
      </c>
      <c r="B1083" s="2" t="str">
        <f>HYPERLINK("https://my.zakupki.prom.ua/remote/dispatcher/state_purchase_lot_view/740594")</f>
        <v>https://my.zakupki.prom.ua/remote/dispatcher/state_purchase_lot_view/740594</v>
      </c>
      <c r="C1083" s="1" t="s">
        <v>3894</v>
      </c>
      <c r="D1083" s="1" t="s">
        <v>825</v>
      </c>
      <c r="E1083" s="4">
        <v>10</v>
      </c>
      <c r="F1083" s="5">
        <v>39.17</v>
      </c>
      <c r="G1083" s="1" t="s">
        <v>4989</v>
      </c>
      <c r="H1083" s="1" t="s">
        <v>352</v>
      </c>
      <c r="I1083" s="1" t="s">
        <v>4715</v>
      </c>
      <c r="J1083" s="5">
        <v>47725.8</v>
      </c>
      <c r="K1083" s="5">
        <v>391.7</v>
      </c>
      <c r="L1083" s="5">
        <v>3.92</v>
      </c>
      <c r="M1083" s="1" t="s">
        <v>2308</v>
      </c>
      <c r="N1083" s="1" t="s">
        <v>3403</v>
      </c>
      <c r="O1083" s="1" t="s">
        <v>2521</v>
      </c>
      <c r="P1083" s="1" t="s">
        <v>2762</v>
      </c>
      <c r="Q1083" s="1" t="s">
        <v>3325</v>
      </c>
      <c r="R1083" s="1" t="s">
        <v>4081</v>
      </c>
      <c r="S1083" s="1" t="s">
        <v>4937</v>
      </c>
      <c r="T1083" s="6">
        <v>44593</v>
      </c>
      <c r="U1083" s="6">
        <v>44600</v>
      </c>
      <c r="V1083" s="7">
        <v>0.70833333333333337</v>
      </c>
      <c r="W1083" s="6">
        <v>44603</v>
      </c>
      <c r="X1083" s="7">
        <v>0.70833333333333337</v>
      </c>
      <c r="Y1083" s="1" t="s">
        <v>4860</v>
      </c>
      <c r="Z1083" s="5">
        <v>17</v>
      </c>
      <c r="AA1083" s="1" t="s">
        <v>3403</v>
      </c>
      <c r="AB1083" s="1"/>
      <c r="AC1083" s="1"/>
      <c r="AD1083" s="1"/>
      <c r="AE1083" s="1" t="s">
        <v>3813</v>
      </c>
      <c r="AF1083" s="1" t="s">
        <v>9</v>
      </c>
      <c r="AG1083" s="1" t="s">
        <v>9</v>
      </c>
      <c r="AH1083" s="1"/>
      <c r="AI1083" s="1"/>
    </row>
    <row r="1084" spans="1:35" x14ac:dyDescent="0.3">
      <c r="A1084" s="1" t="s">
        <v>1688</v>
      </c>
      <c r="B1084" s="2" t="str">
        <f>HYPERLINK("https://my.zakupki.prom.ua/remote/dispatcher/state_purchase_lot_view/740595")</f>
        <v>https://my.zakupki.prom.ua/remote/dispatcher/state_purchase_lot_view/740595</v>
      </c>
      <c r="C1084" s="1" t="s">
        <v>3895</v>
      </c>
      <c r="D1084" s="1" t="s">
        <v>825</v>
      </c>
      <c r="E1084" s="4">
        <v>10</v>
      </c>
      <c r="F1084" s="5">
        <v>18.329999999999998</v>
      </c>
      <c r="G1084" s="1" t="s">
        <v>4989</v>
      </c>
      <c r="H1084" s="1" t="s">
        <v>352</v>
      </c>
      <c r="I1084" s="1" t="s">
        <v>4715</v>
      </c>
      <c r="J1084" s="5">
        <v>47725.8</v>
      </c>
      <c r="K1084" s="5">
        <v>183.3</v>
      </c>
      <c r="L1084" s="5">
        <v>1.83</v>
      </c>
      <c r="M1084" s="1" t="s">
        <v>2308</v>
      </c>
      <c r="N1084" s="1" t="s">
        <v>3403</v>
      </c>
      <c r="O1084" s="1" t="s">
        <v>2521</v>
      </c>
      <c r="P1084" s="1" t="s">
        <v>2762</v>
      </c>
      <c r="Q1084" s="1" t="s">
        <v>3325</v>
      </c>
      <c r="R1084" s="1" t="s">
        <v>4081</v>
      </c>
      <c r="S1084" s="1" t="s">
        <v>4937</v>
      </c>
      <c r="T1084" s="6">
        <v>44593</v>
      </c>
      <c r="U1084" s="6">
        <v>44600</v>
      </c>
      <c r="V1084" s="7">
        <v>0.70833333333333337</v>
      </c>
      <c r="W1084" s="6">
        <v>44603</v>
      </c>
      <c r="X1084" s="7">
        <v>0.70833333333333337</v>
      </c>
      <c r="Y1084" s="1" t="s">
        <v>4860</v>
      </c>
      <c r="Z1084" s="5">
        <v>17</v>
      </c>
      <c r="AA1084" s="1" t="s">
        <v>3403</v>
      </c>
      <c r="AB1084" s="1"/>
      <c r="AC1084" s="1"/>
      <c r="AD1084" s="1"/>
      <c r="AE1084" s="1" t="s">
        <v>3813</v>
      </c>
      <c r="AF1084" s="1" t="s">
        <v>9</v>
      </c>
      <c r="AG1084" s="1" t="s">
        <v>9</v>
      </c>
      <c r="AH1084" s="1"/>
      <c r="AI1084" s="1"/>
    </row>
    <row r="1085" spans="1:35" x14ac:dyDescent="0.3">
      <c r="A1085" s="1" t="s">
        <v>1688</v>
      </c>
      <c r="B1085" s="2" t="str">
        <f>HYPERLINK("https://my.zakupki.prom.ua/remote/dispatcher/state_purchase_lot_view/740596")</f>
        <v>https://my.zakupki.prom.ua/remote/dispatcher/state_purchase_lot_view/740596</v>
      </c>
      <c r="C1085" s="1" t="s">
        <v>3896</v>
      </c>
      <c r="D1085" s="1" t="s">
        <v>825</v>
      </c>
      <c r="E1085" s="4">
        <v>10</v>
      </c>
      <c r="F1085" s="5">
        <v>15</v>
      </c>
      <c r="G1085" s="1" t="s">
        <v>4989</v>
      </c>
      <c r="H1085" s="1" t="s">
        <v>352</v>
      </c>
      <c r="I1085" s="1" t="s">
        <v>4715</v>
      </c>
      <c r="J1085" s="5">
        <v>47725.8</v>
      </c>
      <c r="K1085" s="5">
        <v>150</v>
      </c>
      <c r="L1085" s="5">
        <v>1.5</v>
      </c>
      <c r="M1085" s="1" t="s">
        <v>2308</v>
      </c>
      <c r="N1085" s="1" t="s">
        <v>3403</v>
      </c>
      <c r="O1085" s="1" t="s">
        <v>2521</v>
      </c>
      <c r="P1085" s="1" t="s">
        <v>2762</v>
      </c>
      <c r="Q1085" s="1" t="s">
        <v>3325</v>
      </c>
      <c r="R1085" s="1" t="s">
        <v>4081</v>
      </c>
      <c r="S1085" s="1" t="s">
        <v>4937</v>
      </c>
      <c r="T1085" s="6">
        <v>44593</v>
      </c>
      <c r="U1085" s="6">
        <v>44600</v>
      </c>
      <c r="V1085" s="7">
        <v>0.70833333333333337</v>
      </c>
      <c r="W1085" s="6">
        <v>44603</v>
      </c>
      <c r="X1085" s="7">
        <v>0.70833333333333337</v>
      </c>
      <c r="Y1085" s="1" t="s">
        <v>4860</v>
      </c>
      <c r="Z1085" s="5">
        <v>17</v>
      </c>
      <c r="AA1085" s="1" t="s">
        <v>3403</v>
      </c>
      <c r="AB1085" s="1"/>
      <c r="AC1085" s="1"/>
      <c r="AD1085" s="1"/>
      <c r="AE1085" s="1" t="s">
        <v>3813</v>
      </c>
      <c r="AF1085" s="1" t="s">
        <v>9</v>
      </c>
      <c r="AG1085" s="1" t="s">
        <v>9</v>
      </c>
      <c r="AH1085" s="1"/>
      <c r="AI1085" s="1"/>
    </row>
    <row r="1086" spans="1:35" x14ac:dyDescent="0.3">
      <c r="A1086" s="1" t="s">
        <v>1688</v>
      </c>
      <c r="B1086" s="2" t="str">
        <f>HYPERLINK("https://my.zakupki.prom.ua/remote/dispatcher/state_purchase_lot_view/740597")</f>
        <v>https://my.zakupki.prom.ua/remote/dispatcher/state_purchase_lot_view/740597</v>
      </c>
      <c r="C1086" s="1" t="s">
        <v>3897</v>
      </c>
      <c r="D1086" s="1" t="s">
        <v>825</v>
      </c>
      <c r="E1086" s="4">
        <v>10</v>
      </c>
      <c r="F1086" s="5">
        <v>13.92</v>
      </c>
      <c r="G1086" s="1" t="s">
        <v>4989</v>
      </c>
      <c r="H1086" s="1" t="s">
        <v>352</v>
      </c>
      <c r="I1086" s="1" t="s">
        <v>4715</v>
      </c>
      <c r="J1086" s="5">
        <v>47725.8</v>
      </c>
      <c r="K1086" s="5">
        <v>139.19999999999999</v>
      </c>
      <c r="L1086" s="5">
        <v>1.39</v>
      </c>
      <c r="M1086" s="1" t="s">
        <v>2308</v>
      </c>
      <c r="N1086" s="1" t="s">
        <v>3403</v>
      </c>
      <c r="O1086" s="1" t="s">
        <v>2521</v>
      </c>
      <c r="P1086" s="1" t="s">
        <v>2762</v>
      </c>
      <c r="Q1086" s="1" t="s">
        <v>3325</v>
      </c>
      <c r="R1086" s="1" t="s">
        <v>4081</v>
      </c>
      <c r="S1086" s="1" t="s">
        <v>4937</v>
      </c>
      <c r="T1086" s="6">
        <v>44593</v>
      </c>
      <c r="U1086" s="6">
        <v>44600</v>
      </c>
      <c r="V1086" s="7">
        <v>0.70833333333333337</v>
      </c>
      <c r="W1086" s="6">
        <v>44603</v>
      </c>
      <c r="X1086" s="7">
        <v>0.70833333333333337</v>
      </c>
      <c r="Y1086" s="1" t="s">
        <v>4860</v>
      </c>
      <c r="Z1086" s="5">
        <v>17</v>
      </c>
      <c r="AA1086" s="1" t="s">
        <v>3403</v>
      </c>
      <c r="AB1086" s="1"/>
      <c r="AC1086" s="1"/>
      <c r="AD1086" s="1"/>
      <c r="AE1086" s="1" t="s">
        <v>3813</v>
      </c>
      <c r="AF1086" s="1" t="s">
        <v>9</v>
      </c>
      <c r="AG1086" s="1" t="s">
        <v>9</v>
      </c>
      <c r="AH1086" s="1"/>
      <c r="AI1086" s="1"/>
    </row>
    <row r="1087" spans="1:35" x14ac:dyDescent="0.3">
      <c r="A1087" s="1" t="s">
        <v>1688</v>
      </c>
      <c r="B1087" s="2" t="str">
        <f>HYPERLINK("https://my.zakupki.prom.ua/remote/dispatcher/state_purchase_lot_view/740598")</f>
        <v>https://my.zakupki.prom.ua/remote/dispatcher/state_purchase_lot_view/740598</v>
      </c>
      <c r="C1087" s="1" t="s">
        <v>3898</v>
      </c>
      <c r="D1087" s="1" t="s">
        <v>825</v>
      </c>
      <c r="E1087" s="4">
        <v>120</v>
      </c>
      <c r="F1087" s="5">
        <v>18.920000000000002</v>
      </c>
      <c r="G1087" s="1" t="s">
        <v>4989</v>
      </c>
      <c r="H1087" s="1" t="s">
        <v>352</v>
      </c>
      <c r="I1087" s="1" t="s">
        <v>4715</v>
      </c>
      <c r="J1087" s="5">
        <v>47725.8</v>
      </c>
      <c r="K1087" s="5">
        <v>2270.4</v>
      </c>
      <c r="L1087" s="5">
        <v>22.7</v>
      </c>
      <c r="M1087" s="1" t="s">
        <v>2308</v>
      </c>
      <c r="N1087" s="1" t="s">
        <v>3403</v>
      </c>
      <c r="O1087" s="1" t="s">
        <v>2521</v>
      </c>
      <c r="P1087" s="1" t="s">
        <v>2762</v>
      </c>
      <c r="Q1087" s="1" t="s">
        <v>3325</v>
      </c>
      <c r="R1087" s="1" t="s">
        <v>4081</v>
      </c>
      <c r="S1087" s="1" t="s">
        <v>4937</v>
      </c>
      <c r="T1087" s="6">
        <v>44593</v>
      </c>
      <c r="U1087" s="6">
        <v>44600</v>
      </c>
      <c r="V1087" s="7">
        <v>0.70833333333333337</v>
      </c>
      <c r="W1087" s="6">
        <v>44603</v>
      </c>
      <c r="X1087" s="7">
        <v>0.70833333333333337</v>
      </c>
      <c r="Y1087" s="1" t="s">
        <v>4860</v>
      </c>
      <c r="Z1087" s="5">
        <v>17</v>
      </c>
      <c r="AA1087" s="1" t="s">
        <v>3403</v>
      </c>
      <c r="AB1087" s="1"/>
      <c r="AC1087" s="1"/>
      <c r="AD1087" s="1"/>
      <c r="AE1087" s="1" t="s">
        <v>3813</v>
      </c>
      <c r="AF1087" s="1" t="s">
        <v>9</v>
      </c>
      <c r="AG1087" s="1" t="s">
        <v>9</v>
      </c>
      <c r="AH1087" s="1"/>
      <c r="AI1087" s="1"/>
    </row>
    <row r="1088" spans="1:35" x14ac:dyDescent="0.3">
      <c r="A1088" s="1" t="s">
        <v>1688</v>
      </c>
      <c r="B1088" s="2" t="str">
        <f>HYPERLINK("https://my.zakupki.prom.ua/remote/dispatcher/state_purchase_lot_view/740599")</f>
        <v>https://my.zakupki.prom.ua/remote/dispatcher/state_purchase_lot_view/740599</v>
      </c>
      <c r="C1088" s="1" t="s">
        <v>3899</v>
      </c>
      <c r="D1088" s="1" t="s">
        <v>825</v>
      </c>
      <c r="E1088" s="4">
        <v>10</v>
      </c>
      <c r="F1088" s="5">
        <v>29.75</v>
      </c>
      <c r="G1088" s="1" t="s">
        <v>4989</v>
      </c>
      <c r="H1088" s="1" t="s">
        <v>352</v>
      </c>
      <c r="I1088" s="1" t="s">
        <v>4715</v>
      </c>
      <c r="J1088" s="5">
        <v>47725.8</v>
      </c>
      <c r="K1088" s="5">
        <v>297.5</v>
      </c>
      <c r="L1088" s="5">
        <v>2.98</v>
      </c>
      <c r="M1088" s="1" t="s">
        <v>2308</v>
      </c>
      <c r="N1088" s="1" t="s">
        <v>3403</v>
      </c>
      <c r="O1088" s="1" t="s">
        <v>2521</v>
      </c>
      <c r="P1088" s="1" t="s">
        <v>2762</v>
      </c>
      <c r="Q1088" s="1" t="s">
        <v>3325</v>
      </c>
      <c r="R1088" s="1" t="s">
        <v>4081</v>
      </c>
      <c r="S1088" s="1" t="s">
        <v>4937</v>
      </c>
      <c r="T1088" s="6">
        <v>44593</v>
      </c>
      <c r="U1088" s="6">
        <v>44600</v>
      </c>
      <c r="V1088" s="7">
        <v>0.70833333333333337</v>
      </c>
      <c r="W1088" s="6">
        <v>44603</v>
      </c>
      <c r="X1088" s="7">
        <v>0.70833333333333337</v>
      </c>
      <c r="Y1088" s="1" t="s">
        <v>4860</v>
      </c>
      <c r="Z1088" s="5">
        <v>17</v>
      </c>
      <c r="AA1088" s="1" t="s">
        <v>3403</v>
      </c>
      <c r="AB1088" s="1"/>
      <c r="AC1088" s="1"/>
      <c r="AD1088" s="1"/>
      <c r="AE1088" s="1" t="s">
        <v>3813</v>
      </c>
      <c r="AF1088" s="1" t="s">
        <v>9</v>
      </c>
      <c r="AG1088" s="1" t="s">
        <v>9</v>
      </c>
      <c r="AH1088" s="1"/>
      <c r="AI1088" s="1"/>
    </row>
    <row r="1089" spans="1:35" x14ac:dyDescent="0.3">
      <c r="A1089" s="1" t="s">
        <v>1688</v>
      </c>
      <c r="B1089" s="2" t="str">
        <f>HYPERLINK("https://my.zakupki.prom.ua/remote/dispatcher/state_purchase_lot_view/740600")</f>
        <v>https://my.zakupki.prom.ua/remote/dispatcher/state_purchase_lot_view/740600</v>
      </c>
      <c r="C1089" s="1" t="s">
        <v>3900</v>
      </c>
      <c r="D1089" s="1" t="s">
        <v>825</v>
      </c>
      <c r="E1089" s="4">
        <v>10</v>
      </c>
      <c r="F1089" s="5">
        <v>72.5</v>
      </c>
      <c r="G1089" s="1" t="s">
        <v>4989</v>
      </c>
      <c r="H1089" s="1" t="s">
        <v>352</v>
      </c>
      <c r="I1089" s="1" t="s">
        <v>4715</v>
      </c>
      <c r="J1089" s="5">
        <v>47725.8</v>
      </c>
      <c r="K1089" s="5">
        <v>725</v>
      </c>
      <c r="L1089" s="5">
        <v>7.25</v>
      </c>
      <c r="M1089" s="1" t="s">
        <v>2308</v>
      </c>
      <c r="N1089" s="1" t="s">
        <v>3403</v>
      </c>
      <c r="O1089" s="1" t="s">
        <v>2521</v>
      </c>
      <c r="P1089" s="1" t="s">
        <v>2762</v>
      </c>
      <c r="Q1089" s="1" t="s">
        <v>3325</v>
      </c>
      <c r="R1089" s="1" t="s">
        <v>4081</v>
      </c>
      <c r="S1089" s="1" t="s">
        <v>4937</v>
      </c>
      <c r="T1089" s="6">
        <v>44593</v>
      </c>
      <c r="U1089" s="6">
        <v>44600</v>
      </c>
      <c r="V1089" s="7">
        <v>0.70833333333333337</v>
      </c>
      <c r="W1089" s="6">
        <v>44603</v>
      </c>
      <c r="X1089" s="7">
        <v>0.70833333333333337</v>
      </c>
      <c r="Y1089" s="1" t="s">
        <v>4860</v>
      </c>
      <c r="Z1089" s="5">
        <v>17</v>
      </c>
      <c r="AA1089" s="1" t="s">
        <v>3403</v>
      </c>
      <c r="AB1089" s="1"/>
      <c r="AC1089" s="1"/>
      <c r="AD1089" s="1"/>
      <c r="AE1089" s="1" t="s">
        <v>3813</v>
      </c>
      <c r="AF1089" s="1" t="s">
        <v>9</v>
      </c>
      <c r="AG1089" s="1" t="s">
        <v>9</v>
      </c>
      <c r="AH1089" s="1"/>
      <c r="AI1089" s="1"/>
    </row>
    <row r="1090" spans="1:35" x14ac:dyDescent="0.3">
      <c r="A1090" s="1" t="s">
        <v>1688</v>
      </c>
      <c r="B1090" s="2" t="str">
        <f>HYPERLINK("https://my.zakupki.prom.ua/remote/dispatcher/state_purchase_lot_view/740601")</f>
        <v>https://my.zakupki.prom.ua/remote/dispatcher/state_purchase_lot_view/740601</v>
      </c>
      <c r="C1090" s="1" t="s">
        <v>3884</v>
      </c>
      <c r="D1090" s="1" t="s">
        <v>825</v>
      </c>
      <c r="E1090" s="4">
        <v>150</v>
      </c>
      <c r="F1090" s="5">
        <v>38.08</v>
      </c>
      <c r="G1090" s="1" t="s">
        <v>4989</v>
      </c>
      <c r="H1090" s="1" t="s">
        <v>352</v>
      </c>
      <c r="I1090" s="1" t="s">
        <v>4715</v>
      </c>
      <c r="J1090" s="5">
        <v>47725.8</v>
      </c>
      <c r="K1090" s="5">
        <v>5712</v>
      </c>
      <c r="L1090" s="5">
        <v>57.12</v>
      </c>
      <c r="M1090" s="1" t="s">
        <v>2308</v>
      </c>
      <c r="N1090" s="1" t="s">
        <v>3403</v>
      </c>
      <c r="O1090" s="1" t="s">
        <v>2521</v>
      </c>
      <c r="P1090" s="1" t="s">
        <v>2762</v>
      </c>
      <c r="Q1090" s="1" t="s">
        <v>3325</v>
      </c>
      <c r="R1090" s="1" t="s">
        <v>4081</v>
      </c>
      <c r="S1090" s="1" t="s">
        <v>4937</v>
      </c>
      <c r="T1090" s="6">
        <v>44593</v>
      </c>
      <c r="U1090" s="6">
        <v>44600</v>
      </c>
      <c r="V1090" s="7">
        <v>0.70833333333333337</v>
      </c>
      <c r="W1090" s="6">
        <v>44603</v>
      </c>
      <c r="X1090" s="7">
        <v>0.70833333333333337</v>
      </c>
      <c r="Y1090" s="1" t="s">
        <v>4860</v>
      </c>
      <c r="Z1090" s="5">
        <v>17</v>
      </c>
      <c r="AA1090" s="1" t="s">
        <v>3403</v>
      </c>
      <c r="AB1090" s="1"/>
      <c r="AC1090" s="1"/>
      <c r="AD1090" s="1"/>
      <c r="AE1090" s="1" t="s">
        <v>3813</v>
      </c>
      <c r="AF1090" s="1" t="s">
        <v>9</v>
      </c>
      <c r="AG1090" s="1" t="s">
        <v>9</v>
      </c>
      <c r="AH1090" s="1"/>
      <c r="AI1090" s="1"/>
    </row>
    <row r="1091" spans="1:35" x14ac:dyDescent="0.3">
      <c r="A1091" s="1" t="s">
        <v>1688</v>
      </c>
      <c r="B1091" s="2" t="str">
        <f>HYPERLINK("https://my.zakupki.prom.ua/remote/dispatcher/state_purchase_lot_view/740602")</f>
        <v>https://my.zakupki.prom.ua/remote/dispatcher/state_purchase_lot_view/740602</v>
      </c>
      <c r="C1091" s="1" t="s">
        <v>3885</v>
      </c>
      <c r="D1091" s="1" t="s">
        <v>825</v>
      </c>
      <c r="E1091" s="4">
        <v>10</v>
      </c>
      <c r="F1091" s="5">
        <v>18.829999999999998</v>
      </c>
      <c r="G1091" s="1" t="s">
        <v>4989</v>
      </c>
      <c r="H1091" s="1" t="s">
        <v>352</v>
      </c>
      <c r="I1091" s="1" t="s">
        <v>4715</v>
      </c>
      <c r="J1091" s="5">
        <v>47725.8</v>
      </c>
      <c r="K1091" s="5">
        <v>188.3</v>
      </c>
      <c r="L1091" s="5">
        <v>1.88</v>
      </c>
      <c r="M1091" s="1" t="s">
        <v>2308</v>
      </c>
      <c r="N1091" s="1" t="s">
        <v>3403</v>
      </c>
      <c r="O1091" s="1" t="s">
        <v>2521</v>
      </c>
      <c r="P1091" s="1" t="s">
        <v>2762</v>
      </c>
      <c r="Q1091" s="1" t="s">
        <v>3325</v>
      </c>
      <c r="R1091" s="1" t="s">
        <v>4081</v>
      </c>
      <c r="S1091" s="1" t="s">
        <v>4937</v>
      </c>
      <c r="T1091" s="6">
        <v>44593</v>
      </c>
      <c r="U1091" s="6">
        <v>44600</v>
      </c>
      <c r="V1091" s="7">
        <v>0.70833333333333337</v>
      </c>
      <c r="W1091" s="6">
        <v>44603</v>
      </c>
      <c r="X1091" s="7">
        <v>0.70833333333333337</v>
      </c>
      <c r="Y1091" s="1" t="s">
        <v>4860</v>
      </c>
      <c r="Z1091" s="5">
        <v>17</v>
      </c>
      <c r="AA1091" s="1" t="s">
        <v>3403</v>
      </c>
      <c r="AB1091" s="1"/>
      <c r="AC1091" s="1"/>
      <c r="AD1091" s="1"/>
      <c r="AE1091" s="1" t="s">
        <v>3813</v>
      </c>
      <c r="AF1091" s="1" t="s">
        <v>9</v>
      </c>
      <c r="AG1091" s="1" t="s">
        <v>9</v>
      </c>
      <c r="AH1091" s="1"/>
      <c r="AI1091" s="1"/>
    </row>
    <row r="1092" spans="1:35" x14ac:dyDescent="0.3">
      <c r="A1092" s="1" t="s">
        <v>1688</v>
      </c>
      <c r="B1092" s="2" t="str">
        <f>HYPERLINK("https://my.zakupki.prom.ua/remote/dispatcher/state_purchase_lot_view/740603")</f>
        <v>https://my.zakupki.prom.ua/remote/dispatcher/state_purchase_lot_view/740603</v>
      </c>
      <c r="C1092" s="1" t="s">
        <v>3886</v>
      </c>
      <c r="D1092" s="1" t="s">
        <v>825</v>
      </c>
      <c r="E1092" s="4">
        <v>250</v>
      </c>
      <c r="F1092" s="5">
        <v>23.33</v>
      </c>
      <c r="G1092" s="1" t="s">
        <v>4989</v>
      </c>
      <c r="H1092" s="1" t="s">
        <v>352</v>
      </c>
      <c r="I1092" s="1" t="s">
        <v>4715</v>
      </c>
      <c r="J1092" s="5">
        <v>47725.8</v>
      </c>
      <c r="K1092" s="5">
        <v>5832.5</v>
      </c>
      <c r="L1092" s="5">
        <v>58.33</v>
      </c>
      <c r="M1092" s="1" t="s">
        <v>2308</v>
      </c>
      <c r="N1092" s="1" t="s">
        <v>3403</v>
      </c>
      <c r="O1092" s="1" t="s">
        <v>2521</v>
      </c>
      <c r="P1092" s="1" t="s">
        <v>2762</v>
      </c>
      <c r="Q1092" s="1" t="s">
        <v>3325</v>
      </c>
      <c r="R1092" s="1" t="s">
        <v>4081</v>
      </c>
      <c r="S1092" s="1" t="s">
        <v>4937</v>
      </c>
      <c r="T1092" s="6">
        <v>44593</v>
      </c>
      <c r="U1092" s="6">
        <v>44600</v>
      </c>
      <c r="V1092" s="7">
        <v>0.70833333333333337</v>
      </c>
      <c r="W1092" s="6">
        <v>44603</v>
      </c>
      <c r="X1092" s="7">
        <v>0.70833333333333337</v>
      </c>
      <c r="Y1092" s="1" t="s">
        <v>4860</v>
      </c>
      <c r="Z1092" s="5">
        <v>17</v>
      </c>
      <c r="AA1092" s="1" t="s">
        <v>3403</v>
      </c>
      <c r="AB1092" s="1"/>
      <c r="AC1092" s="1"/>
      <c r="AD1092" s="1"/>
      <c r="AE1092" s="1" t="s">
        <v>3813</v>
      </c>
      <c r="AF1092" s="1" t="s">
        <v>9</v>
      </c>
      <c r="AG1092" s="1" t="s">
        <v>9</v>
      </c>
      <c r="AH1092" s="1"/>
      <c r="AI1092" s="1"/>
    </row>
    <row r="1093" spans="1:35" x14ac:dyDescent="0.3">
      <c r="A1093" s="1" t="s">
        <v>1688</v>
      </c>
      <c r="B1093" s="2" t="str">
        <f>HYPERLINK("https://my.zakupki.prom.ua/remote/dispatcher/state_purchase_lot_view/740604")</f>
        <v>https://my.zakupki.prom.ua/remote/dispatcher/state_purchase_lot_view/740604</v>
      </c>
      <c r="C1093" s="1" t="s">
        <v>3887</v>
      </c>
      <c r="D1093" s="1" t="s">
        <v>825</v>
      </c>
      <c r="E1093" s="4">
        <v>160</v>
      </c>
      <c r="F1093" s="5">
        <v>106.42</v>
      </c>
      <c r="G1093" s="1" t="s">
        <v>4989</v>
      </c>
      <c r="H1093" s="1" t="s">
        <v>352</v>
      </c>
      <c r="I1093" s="1" t="s">
        <v>4715</v>
      </c>
      <c r="J1093" s="5">
        <v>47725.8</v>
      </c>
      <c r="K1093" s="5">
        <v>17027.2</v>
      </c>
      <c r="L1093" s="5">
        <v>170.27</v>
      </c>
      <c r="M1093" s="1" t="s">
        <v>2308</v>
      </c>
      <c r="N1093" s="1" t="s">
        <v>3403</v>
      </c>
      <c r="O1093" s="1" t="s">
        <v>2521</v>
      </c>
      <c r="P1093" s="1" t="s">
        <v>2762</v>
      </c>
      <c r="Q1093" s="1" t="s">
        <v>3325</v>
      </c>
      <c r="R1093" s="1" t="s">
        <v>4081</v>
      </c>
      <c r="S1093" s="1" t="s">
        <v>4937</v>
      </c>
      <c r="T1093" s="6">
        <v>44593</v>
      </c>
      <c r="U1093" s="6">
        <v>44600</v>
      </c>
      <c r="V1093" s="7">
        <v>0.70833333333333337</v>
      </c>
      <c r="W1093" s="6">
        <v>44603</v>
      </c>
      <c r="X1093" s="7">
        <v>0.70833333333333337</v>
      </c>
      <c r="Y1093" s="1" t="s">
        <v>4860</v>
      </c>
      <c r="Z1093" s="5">
        <v>17</v>
      </c>
      <c r="AA1093" s="1" t="s">
        <v>3403</v>
      </c>
      <c r="AB1093" s="1"/>
      <c r="AC1093" s="1"/>
      <c r="AD1093" s="1"/>
      <c r="AE1093" s="1" t="s">
        <v>3813</v>
      </c>
      <c r="AF1093" s="1" t="s">
        <v>9</v>
      </c>
      <c r="AG1093" s="1" t="s">
        <v>9</v>
      </c>
      <c r="AH1093" s="1"/>
      <c r="AI1093" s="1"/>
    </row>
    <row r="1094" spans="1:35" x14ac:dyDescent="0.3">
      <c r="A1094" s="1" t="s">
        <v>1688</v>
      </c>
      <c r="B1094" s="2" t="str">
        <f>HYPERLINK("https://my.zakupki.prom.ua/remote/dispatcher/state_purchase_lot_view/740605")</f>
        <v>https://my.zakupki.prom.ua/remote/dispatcher/state_purchase_lot_view/740605</v>
      </c>
      <c r="C1094" s="1" t="s">
        <v>3888</v>
      </c>
      <c r="D1094" s="1" t="s">
        <v>825</v>
      </c>
      <c r="E1094" s="4">
        <v>160</v>
      </c>
      <c r="F1094" s="5">
        <v>27.67</v>
      </c>
      <c r="G1094" s="1" t="s">
        <v>4989</v>
      </c>
      <c r="H1094" s="1" t="s">
        <v>352</v>
      </c>
      <c r="I1094" s="1" t="s">
        <v>4715</v>
      </c>
      <c r="J1094" s="5">
        <v>47725.8</v>
      </c>
      <c r="K1094" s="5">
        <v>4427.2</v>
      </c>
      <c r="L1094" s="5">
        <v>44.27</v>
      </c>
      <c r="M1094" s="1" t="s">
        <v>2308</v>
      </c>
      <c r="N1094" s="1" t="s">
        <v>3403</v>
      </c>
      <c r="O1094" s="1" t="s">
        <v>2521</v>
      </c>
      <c r="P1094" s="1" t="s">
        <v>2762</v>
      </c>
      <c r="Q1094" s="1" t="s">
        <v>3325</v>
      </c>
      <c r="R1094" s="1" t="s">
        <v>4081</v>
      </c>
      <c r="S1094" s="1" t="s">
        <v>4937</v>
      </c>
      <c r="T1094" s="6">
        <v>44593</v>
      </c>
      <c r="U1094" s="6">
        <v>44600</v>
      </c>
      <c r="V1094" s="7">
        <v>0.70833333333333337</v>
      </c>
      <c r="W1094" s="6">
        <v>44603</v>
      </c>
      <c r="X1094" s="7">
        <v>0.70833333333333337</v>
      </c>
      <c r="Y1094" s="1" t="s">
        <v>4860</v>
      </c>
      <c r="Z1094" s="5">
        <v>17</v>
      </c>
      <c r="AA1094" s="1" t="s">
        <v>3403</v>
      </c>
      <c r="AB1094" s="1"/>
      <c r="AC1094" s="1"/>
      <c r="AD1094" s="1"/>
      <c r="AE1094" s="1" t="s">
        <v>3813</v>
      </c>
      <c r="AF1094" s="1" t="s">
        <v>9</v>
      </c>
      <c r="AG1094" s="1" t="s">
        <v>9</v>
      </c>
      <c r="AH1094" s="1"/>
      <c r="AI1094" s="1"/>
    </row>
    <row r="1095" spans="1:35" x14ac:dyDescent="0.3">
      <c r="A1095" s="1" t="s">
        <v>1688</v>
      </c>
      <c r="B1095" s="2" t="str">
        <f>HYPERLINK("https://my.zakupki.prom.ua/remote/dispatcher/state_purchase_lot_view/740606")</f>
        <v>https://my.zakupki.prom.ua/remote/dispatcher/state_purchase_lot_view/740606</v>
      </c>
      <c r="C1095" s="1" t="s">
        <v>3889</v>
      </c>
      <c r="D1095" s="1" t="s">
        <v>825</v>
      </c>
      <c r="E1095" s="4">
        <v>10</v>
      </c>
      <c r="F1095" s="5">
        <v>39.17</v>
      </c>
      <c r="G1095" s="1" t="s">
        <v>4989</v>
      </c>
      <c r="H1095" s="1" t="s">
        <v>352</v>
      </c>
      <c r="I1095" s="1" t="s">
        <v>4715</v>
      </c>
      <c r="J1095" s="5">
        <v>47725.8</v>
      </c>
      <c r="K1095" s="5">
        <v>391.7</v>
      </c>
      <c r="L1095" s="5">
        <v>3.92</v>
      </c>
      <c r="M1095" s="1" t="s">
        <v>2308</v>
      </c>
      <c r="N1095" s="1" t="s">
        <v>3403</v>
      </c>
      <c r="O1095" s="1" t="s">
        <v>2521</v>
      </c>
      <c r="P1095" s="1" t="s">
        <v>2762</v>
      </c>
      <c r="Q1095" s="1" t="s">
        <v>3325</v>
      </c>
      <c r="R1095" s="1" t="s">
        <v>4081</v>
      </c>
      <c r="S1095" s="1" t="s">
        <v>4937</v>
      </c>
      <c r="T1095" s="6">
        <v>44593</v>
      </c>
      <c r="U1095" s="6">
        <v>44600</v>
      </c>
      <c r="V1095" s="7">
        <v>0.70833333333333337</v>
      </c>
      <c r="W1095" s="6">
        <v>44603</v>
      </c>
      <c r="X1095" s="7">
        <v>0.70833333333333337</v>
      </c>
      <c r="Y1095" s="1" t="s">
        <v>4860</v>
      </c>
      <c r="Z1095" s="5">
        <v>17</v>
      </c>
      <c r="AA1095" s="1" t="s">
        <v>3403</v>
      </c>
      <c r="AB1095" s="1"/>
      <c r="AC1095" s="1"/>
      <c r="AD1095" s="1"/>
      <c r="AE1095" s="1" t="s">
        <v>3813</v>
      </c>
      <c r="AF1095" s="1" t="s">
        <v>9</v>
      </c>
      <c r="AG1095" s="1" t="s">
        <v>9</v>
      </c>
      <c r="AH1095" s="1"/>
      <c r="AI1095" s="1"/>
    </row>
    <row r="1096" spans="1:35" x14ac:dyDescent="0.3">
      <c r="A1096" s="1" t="s">
        <v>1688</v>
      </c>
      <c r="B1096" s="2" t="str">
        <f>HYPERLINK("https://my.zakupki.prom.ua/remote/dispatcher/state_purchase_lot_view/740607")</f>
        <v>https://my.zakupki.prom.ua/remote/dispatcher/state_purchase_lot_view/740607</v>
      </c>
      <c r="C1096" s="1" t="s">
        <v>3890</v>
      </c>
      <c r="D1096" s="1" t="s">
        <v>825</v>
      </c>
      <c r="E1096" s="4">
        <v>10</v>
      </c>
      <c r="F1096" s="5">
        <v>15</v>
      </c>
      <c r="G1096" s="1" t="s">
        <v>4989</v>
      </c>
      <c r="H1096" s="1" t="s">
        <v>352</v>
      </c>
      <c r="I1096" s="1" t="s">
        <v>4715</v>
      </c>
      <c r="J1096" s="5">
        <v>47725.8</v>
      </c>
      <c r="K1096" s="5">
        <v>150</v>
      </c>
      <c r="L1096" s="5">
        <v>1.5</v>
      </c>
      <c r="M1096" s="1" t="s">
        <v>2308</v>
      </c>
      <c r="N1096" s="1" t="s">
        <v>3403</v>
      </c>
      <c r="O1096" s="1" t="s">
        <v>2521</v>
      </c>
      <c r="P1096" s="1" t="s">
        <v>2762</v>
      </c>
      <c r="Q1096" s="1" t="s">
        <v>3325</v>
      </c>
      <c r="R1096" s="1" t="s">
        <v>4081</v>
      </c>
      <c r="S1096" s="1" t="s">
        <v>4937</v>
      </c>
      <c r="T1096" s="6">
        <v>44593</v>
      </c>
      <c r="U1096" s="6">
        <v>44600</v>
      </c>
      <c r="V1096" s="7">
        <v>0.70833333333333337</v>
      </c>
      <c r="W1096" s="6">
        <v>44603</v>
      </c>
      <c r="X1096" s="7">
        <v>0.70833333333333337</v>
      </c>
      <c r="Y1096" s="1" t="s">
        <v>4860</v>
      </c>
      <c r="Z1096" s="5">
        <v>17</v>
      </c>
      <c r="AA1096" s="1" t="s">
        <v>3403</v>
      </c>
      <c r="AB1096" s="1"/>
      <c r="AC1096" s="1"/>
      <c r="AD1096" s="1"/>
      <c r="AE1096" s="1" t="s">
        <v>3813</v>
      </c>
      <c r="AF1096" s="1" t="s">
        <v>9</v>
      </c>
      <c r="AG1096" s="1" t="s">
        <v>9</v>
      </c>
      <c r="AH1096" s="1"/>
      <c r="AI1096" s="1"/>
    </row>
    <row r="1097" spans="1:35" x14ac:dyDescent="0.3">
      <c r="A1097" s="1" t="s">
        <v>1688</v>
      </c>
      <c r="B1097" s="2" t="str">
        <f>HYPERLINK("https://my.zakupki.prom.ua/remote/dispatcher/state_purchase_lot_view/740608")</f>
        <v>https://my.zakupki.prom.ua/remote/dispatcher/state_purchase_lot_view/740608</v>
      </c>
      <c r="C1097" s="1" t="s">
        <v>3891</v>
      </c>
      <c r="D1097" s="1" t="s">
        <v>825</v>
      </c>
      <c r="E1097" s="4">
        <v>120</v>
      </c>
      <c r="F1097" s="5">
        <v>20</v>
      </c>
      <c r="G1097" s="1" t="s">
        <v>4989</v>
      </c>
      <c r="H1097" s="1" t="s">
        <v>352</v>
      </c>
      <c r="I1097" s="1" t="s">
        <v>4715</v>
      </c>
      <c r="J1097" s="5">
        <v>47725.8</v>
      </c>
      <c r="K1097" s="5">
        <v>2400</v>
      </c>
      <c r="L1097" s="5">
        <v>24</v>
      </c>
      <c r="M1097" s="1" t="s">
        <v>2308</v>
      </c>
      <c r="N1097" s="1" t="s">
        <v>3403</v>
      </c>
      <c r="O1097" s="1" t="s">
        <v>2521</v>
      </c>
      <c r="P1097" s="1" t="s">
        <v>2762</v>
      </c>
      <c r="Q1097" s="1" t="s">
        <v>3325</v>
      </c>
      <c r="R1097" s="1" t="s">
        <v>4081</v>
      </c>
      <c r="S1097" s="1" t="s">
        <v>4937</v>
      </c>
      <c r="T1097" s="6">
        <v>44593</v>
      </c>
      <c r="U1097" s="6">
        <v>44600</v>
      </c>
      <c r="V1097" s="7">
        <v>0.70833333333333337</v>
      </c>
      <c r="W1097" s="6">
        <v>44603</v>
      </c>
      <c r="X1097" s="7">
        <v>0.70833333333333337</v>
      </c>
      <c r="Y1097" s="1" t="s">
        <v>4860</v>
      </c>
      <c r="Z1097" s="5">
        <v>17</v>
      </c>
      <c r="AA1097" s="1" t="s">
        <v>3403</v>
      </c>
      <c r="AB1097" s="1"/>
      <c r="AC1097" s="1"/>
      <c r="AD1097" s="1"/>
      <c r="AE1097" s="1" t="s">
        <v>3813</v>
      </c>
      <c r="AF1097" s="1" t="s">
        <v>9</v>
      </c>
      <c r="AG1097" s="1" t="s">
        <v>9</v>
      </c>
      <c r="AH1097" s="1"/>
      <c r="AI1097" s="1"/>
    </row>
    <row r="1098" spans="1:35" x14ac:dyDescent="0.3">
      <c r="A1098" s="1" t="s">
        <v>1688</v>
      </c>
      <c r="B1098" s="2" t="str">
        <f>HYPERLINK("https://my.zakupki.prom.ua/remote/dispatcher/state_purchase_lot_view/740609")</f>
        <v>https://my.zakupki.prom.ua/remote/dispatcher/state_purchase_lot_view/740609</v>
      </c>
      <c r="C1098" s="1" t="s">
        <v>3892</v>
      </c>
      <c r="D1098" s="1" t="s">
        <v>825</v>
      </c>
      <c r="E1098" s="4">
        <v>100</v>
      </c>
      <c r="F1098" s="5">
        <v>20.67</v>
      </c>
      <c r="G1098" s="1" t="s">
        <v>4989</v>
      </c>
      <c r="H1098" s="1" t="s">
        <v>352</v>
      </c>
      <c r="I1098" s="1" t="s">
        <v>4715</v>
      </c>
      <c r="J1098" s="5">
        <v>47725.8</v>
      </c>
      <c r="K1098" s="5">
        <v>2067</v>
      </c>
      <c r="L1098" s="5">
        <v>20.67</v>
      </c>
      <c r="M1098" s="1" t="s">
        <v>2308</v>
      </c>
      <c r="N1098" s="1" t="s">
        <v>3403</v>
      </c>
      <c r="O1098" s="1" t="s">
        <v>2521</v>
      </c>
      <c r="P1098" s="1" t="s">
        <v>2762</v>
      </c>
      <c r="Q1098" s="1" t="s">
        <v>3325</v>
      </c>
      <c r="R1098" s="1" t="s">
        <v>4081</v>
      </c>
      <c r="S1098" s="1" t="s">
        <v>4937</v>
      </c>
      <c r="T1098" s="6">
        <v>44593</v>
      </c>
      <c r="U1098" s="6">
        <v>44600</v>
      </c>
      <c r="V1098" s="7">
        <v>0.70833333333333337</v>
      </c>
      <c r="W1098" s="6">
        <v>44603</v>
      </c>
      <c r="X1098" s="7">
        <v>0.70833333333333337</v>
      </c>
      <c r="Y1098" s="1" t="s">
        <v>4860</v>
      </c>
      <c r="Z1098" s="5">
        <v>17</v>
      </c>
      <c r="AA1098" s="1" t="s">
        <v>3403</v>
      </c>
      <c r="AB1098" s="1"/>
      <c r="AC1098" s="1"/>
      <c r="AD1098" s="1"/>
      <c r="AE1098" s="1" t="s">
        <v>3813</v>
      </c>
      <c r="AF1098" s="1" t="s">
        <v>9</v>
      </c>
      <c r="AG1098" s="1" t="s">
        <v>9</v>
      </c>
      <c r="AH1098" s="1"/>
      <c r="AI1098" s="1"/>
    </row>
    <row r="1099" spans="1:35" x14ac:dyDescent="0.3">
      <c r="A1099" s="1" t="s">
        <v>1321</v>
      </c>
      <c r="B1099" s="2" t="str">
        <f>HYPERLINK("https://my.zakupki.prom.ua/remote/dispatcher/state_purchase_lot_view/740589")</f>
        <v>https://my.zakupki.prom.ua/remote/dispatcher/state_purchase_lot_view/740589</v>
      </c>
      <c r="C1099" s="1" t="s">
        <v>3242</v>
      </c>
      <c r="D1099" s="1" t="s">
        <v>1137</v>
      </c>
      <c r="E1099" s="4">
        <v>1</v>
      </c>
      <c r="F1099" s="5">
        <v>216679.96</v>
      </c>
      <c r="G1099" s="1" t="s">
        <v>4976</v>
      </c>
      <c r="H1099" s="1" t="s">
        <v>15</v>
      </c>
      <c r="I1099" s="1" t="s">
        <v>2340</v>
      </c>
      <c r="J1099" s="5">
        <v>623448.98</v>
      </c>
      <c r="K1099" s="5">
        <v>216679.96</v>
      </c>
      <c r="L1099" s="5">
        <v>1083.4000000000001</v>
      </c>
      <c r="M1099" s="1" t="s">
        <v>2308</v>
      </c>
      <c r="N1099" s="1" t="s">
        <v>3983</v>
      </c>
      <c r="O1099" s="1" t="s">
        <v>2521</v>
      </c>
      <c r="P1099" s="1" t="s">
        <v>3956</v>
      </c>
      <c r="Q1099" s="1" t="s">
        <v>2528</v>
      </c>
      <c r="R1099" s="1" t="s">
        <v>4081</v>
      </c>
      <c r="S1099" s="1" t="s">
        <v>4937</v>
      </c>
      <c r="T1099" s="6">
        <v>44593</v>
      </c>
      <c r="U1099" s="6">
        <v>44599</v>
      </c>
      <c r="V1099" s="7">
        <v>0.375</v>
      </c>
      <c r="W1099" s="6">
        <v>44602</v>
      </c>
      <c r="X1099" s="7">
        <v>0.375</v>
      </c>
      <c r="Y1099" s="1" t="s">
        <v>4860</v>
      </c>
      <c r="Z1099" s="5">
        <v>510</v>
      </c>
      <c r="AA1099" s="1" t="s">
        <v>3403</v>
      </c>
      <c r="AB1099" s="1"/>
      <c r="AC1099" s="1"/>
      <c r="AD1099" s="1"/>
      <c r="AE1099" s="1" t="s">
        <v>3708</v>
      </c>
      <c r="AF1099" s="1" t="s">
        <v>9</v>
      </c>
      <c r="AG1099" s="4">
        <v>9</v>
      </c>
      <c r="AH1099" s="1"/>
      <c r="AI1099" s="6">
        <v>44771</v>
      </c>
    </row>
    <row r="1100" spans="1:35" x14ac:dyDescent="0.3">
      <c r="A1100" s="1" t="s">
        <v>1321</v>
      </c>
      <c r="B1100" s="2" t="str">
        <f>HYPERLINK("https://my.zakupki.prom.ua/remote/dispatcher/state_purchase_lot_view/740590")</f>
        <v>https://my.zakupki.prom.ua/remote/dispatcher/state_purchase_lot_view/740590</v>
      </c>
      <c r="C1100" s="1" t="s">
        <v>3243</v>
      </c>
      <c r="D1100" s="1" t="s">
        <v>1137</v>
      </c>
      <c r="E1100" s="4">
        <v>1</v>
      </c>
      <c r="F1100" s="5">
        <v>196442.71</v>
      </c>
      <c r="G1100" s="1" t="s">
        <v>4976</v>
      </c>
      <c r="H1100" s="1" t="s">
        <v>15</v>
      </c>
      <c r="I1100" s="1" t="s">
        <v>2340</v>
      </c>
      <c r="J1100" s="5">
        <v>623448.98</v>
      </c>
      <c r="K1100" s="5">
        <v>196442.71</v>
      </c>
      <c r="L1100" s="5">
        <v>982.21354999999994</v>
      </c>
      <c r="M1100" s="1" t="s">
        <v>2308</v>
      </c>
      <c r="N1100" s="1" t="s">
        <v>3983</v>
      </c>
      <c r="O1100" s="1" t="s">
        <v>2521</v>
      </c>
      <c r="P1100" s="1" t="s">
        <v>3956</v>
      </c>
      <c r="Q1100" s="1" t="s">
        <v>2528</v>
      </c>
      <c r="R1100" s="1" t="s">
        <v>4081</v>
      </c>
      <c r="S1100" s="1" t="s">
        <v>4937</v>
      </c>
      <c r="T1100" s="6">
        <v>44593</v>
      </c>
      <c r="U1100" s="6">
        <v>44599</v>
      </c>
      <c r="V1100" s="7">
        <v>0.375</v>
      </c>
      <c r="W1100" s="6">
        <v>44602</v>
      </c>
      <c r="X1100" s="7">
        <v>0.375</v>
      </c>
      <c r="Y1100" s="1" t="s">
        <v>4860</v>
      </c>
      <c r="Z1100" s="5">
        <v>340</v>
      </c>
      <c r="AA1100" s="1" t="s">
        <v>3403</v>
      </c>
      <c r="AB1100" s="1"/>
      <c r="AC1100" s="1"/>
      <c r="AD1100" s="1"/>
      <c r="AE1100" s="1" t="s">
        <v>3708</v>
      </c>
      <c r="AF1100" s="1" t="s">
        <v>9</v>
      </c>
      <c r="AG1100" s="4">
        <v>9</v>
      </c>
      <c r="AH1100" s="1"/>
      <c r="AI1100" s="6">
        <v>44771</v>
      </c>
    </row>
    <row r="1101" spans="1:35" x14ac:dyDescent="0.3">
      <c r="A1101" s="1" t="s">
        <v>1321</v>
      </c>
      <c r="B1101" s="2" t="str">
        <f>HYPERLINK("https://my.zakupki.prom.ua/remote/dispatcher/state_purchase_lot_view/740591")</f>
        <v>https://my.zakupki.prom.ua/remote/dispatcher/state_purchase_lot_view/740591</v>
      </c>
      <c r="C1101" s="1" t="s">
        <v>3244</v>
      </c>
      <c r="D1101" s="1" t="s">
        <v>1137</v>
      </c>
      <c r="E1101" s="4">
        <v>1</v>
      </c>
      <c r="F1101" s="5">
        <v>210326.31</v>
      </c>
      <c r="G1101" s="1" t="s">
        <v>4976</v>
      </c>
      <c r="H1101" s="1" t="s">
        <v>15</v>
      </c>
      <c r="I1101" s="1" t="s">
        <v>2340</v>
      </c>
      <c r="J1101" s="5">
        <v>623448.98</v>
      </c>
      <c r="K1101" s="5">
        <v>210326.31</v>
      </c>
      <c r="L1101" s="5">
        <v>1051.6400000000001</v>
      </c>
      <c r="M1101" s="1" t="s">
        <v>2308</v>
      </c>
      <c r="N1101" s="1" t="s">
        <v>3983</v>
      </c>
      <c r="O1101" s="1" t="s">
        <v>2521</v>
      </c>
      <c r="P1101" s="1" t="s">
        <v>3956</v>
      </c>
      <c r="Q1101" s="1" t="s">
        <v>2528</v>
      </c>
      <c r="R1101" s="1" t="s">
        <v>4081</v>
      </c>
      <c r="S1101" s="1" t="s">
        <v>4937</v>
      </c>
      <c r="T1101" s="6">
        <v>44593</v>
      </c>
      <c r="U1101" s="6">
        <v>44599</v>
      </c>
      <c r="V1101" s="7">
        <v>0.375</v>
      </c>
      <c r="W1101" s="6">
        <v>44602</v>
      </c>
      <c r="X1101" s="7">
        <v>0.375</v>
      </c>
      <c r="Y1101" s="1" t="s">
        <v>4860</v>
      </c>
      <c r="Z1101" s="5">
        <v>510</v>
      </c>
      <c r="AA1101" s="1" t="s">
        <v>3403</v>
      </c>
      <c r="AB1101" s="1"/>
      <c r="AC1101" s="1"/>
      <c r="AD1101" s="1"/>
      <c r="AE1101" s="1" t="s">
        <v>3708</v>
      </c>
      <c r="AF1101" s="1" t="s">
        <v>9</v>
      </c>
      <c r="AG1101" s="4">
        <v>9</v>
      </c>
      <c r="AH1101" s="1"/>
      <c r="AI1101" s="6">
        <v>44771</v>
      </c>
    </row>
    <row r="1102" spans="1:35" x14ac:dyDescent="0.3">
      <c r="A1102" s="1" t="s">
        <v>1708</v>
      </c>
      <c r="B1102" s="2" t="str">
        <f>HYPERLINK("https://my.zakupki.prom.ua/remote/dispatcher/state_purchase_view/34678671")</f>
        <v>https://my.zakupki.prom.ua/remote/dispatcher/state_purchase_view/34678671</v>
      </c>
      <c r="C1102" s="1" t="s">
        <v>378</v>
      </c>
      <c r="D1102" s="1" t="s">
        <v>373</v>
      </c>
      <c r="E1102" s="1" t="s">
        <v>4903</v>
      </c>
      <c r="F1102" s="1" t="s">
        <v>4903</v>
      </c>
      <c r="G1102" s="1" t="s">
        <v>4903</v>
      </c>
      <c r="H1102" s="1" t="s">
        <v>655</v>
      </c>
      <c r="I1102" s="1" t="s">
        <v>2556</v>
      </c>
      <c r="J1102" s="5">
        <v>828000</v>
      </c>
      <c r="K1102" s="1" t="s">
        <v>3394</v>
      </c>
      <c r="L1102" s="5">
        <v>4140</v>
      </c>
      <c r="M1102" s="1" t="s">
        <v>2308</v>
      </c>
      <c r="N1102" s="1" t="s">
        <v>3983</v>
      </c>
      <c r="O1102" s="1" t="s">
        <v>2521</v>
      </c>
      <c r="P1102" s="1" t="s">
        <v>2515</v>
      </c>
      <c r="Q1102" s="1" t="s">
        <v>4833</v>
      </c>
      <c r="R1102" s="1" t="s">
        <v>4073</v>
      </c>
      <c r="S1102" s="1" t="s">
        <v>4971</v>
      </c>
      <c r="T1102" s="6">
        <v>44593</v>
      </c>
      <c r="U1102" s="6">
        <v>44593</v>
      </c>
      <c r="V1102" s="7">
        <v>0.45871775439814816</v>
      </c>
      <c r="W1102" s="6">
        <v>44610</v>
      </c>
      <c r="X1102" s="7">
        <v>0</v>
      </c>
      <c r="Y1102" s="8">
        <v>44610.532743055555</v>
      </c>
      <c r="Z1102" s="5">
        <v>510</v>
      </c>
      <c r="AA1102" s="1" t="s">
        <v>3403</v>
      </c>
      <c r="AB1102" s="1"/>
      <c r="AC1102" s="1"/>
      <c r="AD1102" s="1"/>
      <c r="AE1102" s="1" t="s">
        <v>3801</v>
      </c>
      <c r="AF1102" s="1" t="s">
        <v>9</v>
      </c>
      <c r="AG1102" s="4">
        <v>1</v>
      </c>
      <c r="AH1102" s="1"/>
      <c r="AI1102" s="6">
        <v>44742</v>
      </c>
    </row>
    <row r="1103" spans="1:35" x14ac:dyDescent="0.3">
      <c r="A1103" s="1" t="s">
        <v>1399</v>
      </c>
      <c r="B1103" s="2" t="str">
        <f>HYPERLINK("https://my.zakupki.prom.ua/remote/dispatcher/state_purchase_lot_view/740576")</f>
        <v>https://my.zakupki.prom.ua/remote/dispatcher/state_purchase_lot_view/740576</v>
      </c>
      <c r="C1103" s="1" t="s">
        <v>3539</v>
      </c>
      <c r="D1103" s="1" t="s">
        <v>1189</v>
      </c>
      <c r="E1103" s="4">
        <v>18540</v>
      </c>
      <c r="F1103" s="5">
        <v>19.739999999999998</v>
      </c>
      <c r="G1103" s="1" t="s">
        <v>4938</v>
      </c>
      <c r="H1103" s="1" t="s">
        <v>140</v>
      </c>
      <c r="I1103" s="1" t="s">
        <v>4869</v>
      </c>
      <c r="J1103" s="5">
        <v>3384444</v>
      </c>
      <c r="K1103" s="5">
        <v>365974</v>
      </c>
      <c r="L1103" s="5">
        <v>1830</v>
      </c>
      <c r="M1103" s="1" t="s">
        <v>2308</v>
      </c>
      <c r="N1103" s="1" t="s">
        <v>3983</v>
      </c>
      <c r="O1103" s="1" t="s">
        <v>2521</v>
      </c>
      <c r="P1103" s="1" t="s">
        <v>2515</v>
      </c>
      <c r="Q1103" s="1" t="s">
        <v>2820</v>
      </c>
      <c r="R1103" s="1" t="s">
        <v>4534</v>
      </c>
      <c r="S1103" s="1" t="s">
        <v>4971</v>
      </c>
      <c r="T1103" s="6">
        <v>44593</v>
      </c>
      <c r="U1103" s="6">
        <v>44593</v>
      </c>
      <c r="V1103" s="7">
        <v>0.45117743642361113</v>
      </c>
      <c r="W1103" s="6">
        <v>44609</v>
      </c>
      <c r="X1103" s="7">
        <v>0.33333333333333331</v>
      </c>
      <c r="Y1103" s="8">
        <v>44610.639641203707</v>
      </c>
      <c r="Z1103" s="5">
        <v>510</v>
      </c>
      <c r="AA1103" s="1" t="s">
        <v>3403</v>
      </c>
      <c r="AB1103" s="1"/>
      <c r="AC1103" s="1"/>
      <c r="AD1103" s="1"/>
      <c r="AE1103" s="1" t="s">
        <v>3736</v>
      </c>
      <c r="AF1103" s="1" t="s">
        <v>9</v>
      </c>
      <c r="AG1103" s="4">
        <v>44</v>
      </c>
      <c r="AH1103" s="1"/>
      <c r="AI1103" s="6">
        <v>44926</v>
      </c>
    </row>
    <row r="1104" spans="1:35" x14ac:dyDescent="0.3">
      <c r="A1104" s="1" t="s">
        <v>1399</v>
      </c>
      <c r="B1104" s="2" t="str">
        <f>HYPERLINK("https://my.zakupki.prom.ua/remote/dispatcher/state_purchase_lot_view/740577")</f>
        <v>https://my.zakupki.prom.ua/remote/dispatcher/state_purchase_lot_view/740577</v>
      </c>
      <c r="C1104" s="1" t="s">
        <v>3539</v>
      </c>
      <c r="D1104" s="1" t="s">
        <v>1189</v>
      </c>
      <c r="E1104" s="4">
        <v>16650</v>
      </c>
      <c r="F1104" s="5">
        <v>19.46</v>
      </c>
      <c r="G1104" s="1" t="s">
        <v>4938</v>
      </c>
      <c r="H1104" s="1" t="s">
        <v>140</v>
      </c>
      <c r="I1104" s="1" t="s">
        <v>4869</v>
      </c>
      <c r="J1104" s="5">
        <v>3384444</v>
      </c>
      <c r="K1104" s="5">
        <v>324061</v>
      </c>
      <c r="L1104" s="5">
        <v>1621</v>
      </c>
      <c r="M1104" s="1" t="s">
        <v>2308</v>
      </c>
      <c r="N1104" s="1" t="s">
        <v>3983</v>
      </c>
      <c r="O1104" s="1" t="s">
        <v>2521</v>
      </c>
      <c r="P1104" s="1" t="s">
        <v>2515</v>
      </c>
      <c r="Q1104" s="1" t="s">
        <v>2820</v>
      </c>
      <c r="R1104" s="1" t="s">
        <v>4534</v>
      </c>
      <c r="S1104" s="1" t="s">
        <v>4971</v>
      </c>
      <c r="T1104" s="6">
        <v>44593</v>
      </c>
      <c r="U1104" s="6">
        <v>44593</v>
      </c>
      <c r="V1104" s="7">
        <v>0.45117743642361113</v>
      </c>
      <c r="W1104" s="6">
        <v>44609</v>
      </c>
      <c r="X1104" s="7">
        <v>0.33333333333333331</v>
      </c>
      <c r="Y1104" s="8">
        <v>44610.649537037039</v>
      </c>
      <c r="Z1104" s="5">
        <v>510</v>
      </c>
      <c r="AA1104" s="1" t="s">
        <v>3403</v>
      </c>
      <c r="AB1104" s="1"/>
      <c r="AC1104" s="1"/>
      <c r="AD1104" s="1"/>
      <c r="AE1104" s="1" t="s">
        <v>3736</v>
      </c>
      <c r="AF1104" s="1" t="s">
        <v>9</v>
      </c>
      <c r="AG1104" s="4">
        <v>44</v>
      </c>
      <c r="AH1104" s="1"/>
      <c r="AI1104" s="6">
        <v>44926</v>
      </c>
    </row>
    <row r="1105" spans="1:35" x14ac:dyDescent="0.3">
      <c r="A1105" s="1" t="s">
        <v>1399</v>
      </c>
      <c r="B1105" s="2" t="str">
        <f>HYPERLINK("https://my.zakupki.prom.ua/remote/dispatcher/state_purchase_lot_view/740578")</f>
        <v>https://my.zakupki.prom.ua/remote/dispatcher/state_purchase_lot_view/740578</v>
      </c>
      <c r="C1105" s="1" t="s">
        <v>3539</v>
      </c>
      <c r="D1105" s="1" t="s">
        <v>1189</v>
      </c>
      <c r="E1105" s="4">
        <v>13005</v>
      </c>
      <c r="F1105" s="5">
        <v>17.899999999999999</v>
      </c>
      <c r="G1105" s="1" t="s">
        <v>4938</v>
      </c>
      <c r="H1105" s="1" t="s">
        <v>140</v>
      </c>
      <c r="I1105" s="1" t="s">
        <v>4869</v>
      </c>
      <c r="J1105" s="5">
        <v>3384444</v>
      </c>
      <c r="K1105" s="5">
        <v>232794</v>
      </c>
      <c r="L1105" s="5">
        <v>1164</v>
      </c>
      <c r="M1105" s="1" t="s">
        <v>2308</v>
      </c>
      <c r="N1105" s="1" t="s">
        <v>3983</v>
      </c>
      <c r="O1105" s="1" t="s">
        <v>2521</v>
      </c>
      <c r="P1105" s="1" t="s">
        <v>2515</v>
      </c>
      <c r="Q1105" s="1" t="s">
        <v>2820</v>
      </c>
      <c r="R1105" s="1" t="s">
        <v>4534</v>
      </c>
      <c r="S1105" s="1" t="s">
        <v>4971</v>
      </c>
      <c r="T1105" s="6">
        <v>44593</v>
      </c>
      <c r="U1105" s="6">
        <v>44593</v>
      </c>
      <c r="V1105" s="7">
        <v>0.45117743642361113</v>
      </c>
      <c r="W1105" s="6">
        <v>44609</v>
      </c>
      <c r="X1105" s="7">
        <v>0.33333333333333331</v>
      </c>
      <c r="Y1105" s="8">
        <v>44610.472986111112</v>
      </c>
      <c r="Z1105" s="5">
        <v>510</v>
      </c>
      <c r="AA1105" s="1" t="s">
        <v>3403</v>
      </c>
      <c r="AB1105" s="1"/>
      <c r="AC1105" s="1"/>
      <c r="AD1105" s="1"/>
      <c r="AE1105" s="1" t="s">
        <v>3736</v>
      </c>
      <c r="AF1105" s="1" t="s">
        <v>9</v>
      </c>
      <c r="AG1105" s="4">
        <v>44</v>
      </c>
      <c r="AH1105" s="1"/>
      <c r="AI1105" s="6">
        <v>44926</v>
      </c>
    </row>
    <row r="1106" spans="1:35" x14ac:dyDescent="0.3">
      <c r="A1106" s="1" t="s">
        <v>1399</v>
      </c>
      <c r="B1106" s="2" t="str">
        <f>HYPERLINK("https://my.zakupki.prom.ua/remote/dispatcher/state_purchase_lot_view/740579")</f>
        <v>https://my.zakupki.prom.ua/remote/dispatcher/state_purchase_lot_view/740579</v>
      </c>
      <c r="C1106" s="1" t="s">
        <v>3539</v>
      </c>
      <c r="D1106" s="1" t="s">
        <v>1189</v>
      </c>
      <c r="E1106" s="4">
        <v>13320</v>
      </c>
      <c r="F1106" s="5">
        <v>16.71</v>
      </c>
      <c r="G1106" s="1" t="s">
        <v>4938</v>
      </c>
      <c r="H1106" s="1" t="s">
        <v>140</v>
      </c>
      <c r="I1106" s="1" t="s">
        <v>4869</v>
      </c>
      <c r="J1106" s="5">
        <v>3384444</v>
      </c>
      <c r="K1106" s="5">
        <v>222534</v>
      </c>
      <c r="L1106" s="5">
        <v>1113</v>
      </c>
      <c r="M1106" s="1" t="s">
        <v>2308</v>
      </c>
      <c r="N1106" s="1" t="s">
        <v>3983</v>
      </c>
      <c r="O1106" s="1" t="s">
        <v>2521</v>
      </c>
      <c r="P1106" s="1" t="s">
        <v>2515</v>
      </c>
      <c r="Q1106" s="1" t="s">
        <v>2820</v>
      </c>
      <c r="R1106" s="1" t="s">
        <v>4534</v>
      </c>
      <c r="S1106" s="1" t="s">
        <v>4971</v>
      </c>
      <c r="T1106" s="6">
        <v>44593</v>
      </c>
      <c r="U1106" s="6">
        <v>44593</v>
      </c>
      <c r="V1106" s="7">
        <v>0.45117743642361113</v>
      </c>
      <c r="W1106" s="6">
        <v>44609</v>
      </c>
      <c r="X1106" s="7">
        <v>0.33333333333333331</v>
      </c>
      <c r="Y1106" s="8">
        <v>44610.479363425926</v>
      </c>
      <c r="Z1106" s="5">
        <v>510</v>
      </c>
      <c r="AA1106" s="1" t="s">
        <v>3403</v>
      </c>
      <c r="AB1106" s="1"/>
      <c r="AC1106" s="1"/>
      <c r="AD1106" s="1"/>
      <c r="AE1106" s="1" t="s">
        <v>3736</v>
      </c>
      <c r="AF1106" s="1" t="s">
        <v>9</v>
      </c>
      <c r="AG1106" s="4">
        <v>44</v>
      </c>
      <c r="AH1106" s="1"/>
      <c r="AI1106" s="6">
        <v>44926</v>
      </c>
    </row>
    <row r="1107" spans="1:35" x14ac:dyDescent="0.3">
      <c r="A1107" s="1" t="s">
        <v>1399</v>
      </c>
      <c r="B1107" s="2" t="str">
        <f>HYPERLINK("https://my.zakupki.prom.ua/remote/dispatcher/state_purchase_lot_view/740580")</f>
        <v>https://my.zakupki.prom.ua/remote/dispatcher/state_purchase_lot_view/740580</v>
      </c>
      <c r="C1107" s="1" t="s">
        <v>3539</v>
      </c>
      <c r="D1107" s="1" t="s">
        <v>1189</v>
      </c>
      <c r="E1107" s="4">
        <v>5895</v>
      </c>
      <c r="F1107" s="5">
        <v>18.88</v>
      </c>
      <c r="G1107" s="1" t="s">
        <v>4938</v>
      </c>
      <c r="H1107" s="1" t="s">
        <v>140</v>
      </c>
      <c r="I1107" s="1" t="s">
        <v>4869</v>
      </c>
      <c r="J1107" s="5">
        <v>3384444</v>
      </c>
      <c r="K1107" s="5">
        <v>111323</v>
      </c>
      <c r="L1107" s="5">
        <v>557</v>
      </c>
      <c r="M1107" s="1" t="s">
        <v>2308</v>
      </c>
      <c r="N1107" s="1" t="s">
        <v>3983</v>
      </c>
      <c r="O1107" s="1" t="s">
        <v>2521</v>
      </c>
      <c r="P1107" s="1" t="s">
        <v>2515</v>
      </c>
      <c r="Q1107" s="1" t="s">
        <v>2820</v>
      </c>
      <c r="R1107" s="1" t="s">
        <v>4534</v>
      </c>
      <c r="S1107" s="1" t="s">
        <v>4971</v>
      </c>
      <c r="T1107" s="6">
        <v>44593</v>
      </c>
      <c r="U1107" s="6">
        <v>44593</v>
      </c>
      <c r="V1107" s="7">
        <v>0.45117743642361113</v>
      </c>
      <c r="W1107" s="6">
        <v>44609</v>
      </c>
      <c r="X1107" s="7">
        <v>0.33333333333333331</v>
      </c>
      <c r="Y1107" s="8">
        <v>44610.51116898148</v>
      </c>
      <c r="Z1107" s="5">
        <v>340</v>
      </c>
      <c r="AA1107" s="1" t="s">
        <v>3403</v>
      </c>
      <c r="AB1107" s="1"/>
      <c r="AC1107" s="1"/>
      <c r="AD1107" s="1"/>
      <c r="AE1107" s="1" t="s">
        <v>3736</v>
      </c>
      <c r="AF1107" s="1" t="s">
        <v>9</v>
      </c>
      <c r="AG1107" s="4">
        <v>44</v>
      </c>
      <c r="AH1107" s="1"/>
      <c r="AI1107" s="6">
        <v>44926</v>
      </c>
    </row>
    <row r="1108" spans="1:35" x14ac:dyDescent="0.3">
      <c r="A1108" s="1" t="s">
        <v>1399</v>
      </c>
      <c r="B1108" s="2" t="str">
        <f>HYPERLINK("https://my.zakupki.prom.ua/remote/dispatcher/state_purchase_lot_view/740581")</f>
        <v>https://my.zakupki.prom.ua/remote/dispatcher/state_purchase_lot_view/740581</v>
      </c>
      <c r="C1108" s="1" t="s">
        <v>3539</v>
      </c>
      <c r="D1108" s="1" t="s">
        <v>1189</v>
      </c>
      <c r="E1108" s="4">
        <v>31365</v>
      </c>
      <c r="F1108" s="5">
        <v>16.98</v>
      </c>
      <c r="G1108" s="1" t="s">
        <v>4938</v>
      </c>
      <c r="H1108" s="1" t="s">
        <v>140</v>
      </c>
      <c r="I1108" s="1" t="s">
        <v>4869</v>
      </c>
      <c r="J1108" s="5">
        <v>3384444</v>
      </c>
      <c r="K1108" s="5">
        <v>532530</v>
      </c>
      <c r="L1108" s="5">
        <v>2663</v>
      </c>
      <c r="M1108" s="1" t="s">
        <v>2308</v>
      </c>
      <c r="N1108" s="1" t="s">
        <v>3983</v>
      </c>
      <c r="O1108" s="1" t="s">
        <v>2521</v>
      </c>
      <c r="P1108" s="1" t="s">
        <v>2515</v>
      </c>
      <c r="Q1108" s="1" t="s">
        <v>2820</v>
      </c>
      <c r="R1108" s="1" t="s">
        <v>4534</v>
      </c>
      <c r="S1108" s="1" t="s">
        <v>4971</v>
      </c>
      <c r="T1108" s="6">
        <v>44593</v>
      </c>
      <c r="U1108" s="6">
        <v>44593</v>
      </c>
      <c r="V1108" s="7">
        <v>0.45117743642361113</v>
      </c>
      <c r="W1108" s="6">
        <v>44609</v>
      </c>
      <c r="X1108" s="7">
        <v>0.33333333333333331</v>
      </c>
      <c r="Y1108" s="8">
        <v>44610.526192129626</v>
      </c>
      <c r="Z1108" s="5">
        <v>510</v>
      </c>
      <c r="AA1108" s="1" t="s">
        <v>3403</v>
      </c>
      <c r="AB1108" s="1"/>
      <c r="AC1108" s="1"/>
      <c r="AD1108" s="1"/>
      <c r="AE1108" s="1" t="s">
        <v>3736</v>
      </c>
      <c r="AF1108" s="1" t="s">
        <v>9</v>
      </c>
      <c r="AG1108" s="4">
        <v>44</v>
      </c>
      <c r="AH1108" s="1"/>
      <c r="AI1108" s="6">
        <v>44926</v>
      </c>
    </row>
    <row r="1109" spans="1:35" x14ac:dyDescent="0.3">
      <c r="A1109" s="1" t="s">
        <v>1399</v>
      </c>
      <c r="B1109" s="2" t="str">
        <f>HYPERLINK("https://my.zakupki.prom.ua/remote/dispatcher/state_purchase_lot_view/740582")</f>
        <v>https://my.zakupki.prom.ua/remote/dispatcher/state_purchase_lot_view/740582</v>
      </c>
      <c r="C1109" s="1" t="s">
        <v>3539</v>
      </c>
      <c r="D1109" s="1" t="s">
        <v>1189</v>
      </c>
      <c r="E1109" s="4">
        <v>12015</v>
      </c>
      <c r="F1109" s="5">
        <v>17.91</v>
      </c>
      <c r="G1109" s="1" t="s">
        <v>4938</v>
      </c>
      <c r="H1109" s="1" t="s">
        <v>140</v>
      </c>
      <c r="I1109" s="1" t="s">
        <v>4869</v>
      </c>
      <c r="J1109" s="5">
        <v>3384444</v>
      </c>
      <c r="K1109" s="5">
        <v>215246</v>
      </c>
      <c r="L1109" s="5">
        <v>1077</v>
      </c>
      <c r="M1109" s="1" t="s">
        <v>2308</v>
      </c>
      <c r="N1109" s="1" t="s">
        <v>3983</v>
      </c>
      <c r="O1109" s="1" t="s">
        <v>2521</v>
      </c>
      <c r="P1109" s="1" t="s">
        <v>2515</v>
      </c>
      <c r="Q1109" s="1" t="s">
        <v>2820</v>
      </c>
      <c r="R1109" s="1" t="s">
        <v>4535</v>
      </c>
      <c r="S1109" s="1" t="s">
        <v>4971</v>
      </c>
      <c r="T1109" s="6">
        <v>44593</v>
      </c>
      <c r="U1109" s="6">
        <v>44593</v>
      </c>
      <c r="V1109" s="7">
        <v>0.45117743642361113</v>
      </c>
      <c r="W1109" s="6">
        <v>44609</v>
      </c>
      <c r="X1109" s="7">
        <v>0.33333333333333331</v>
      </c>
      <c r="Y1109" s="8">
        <v>44610.550439814811</v>
      </c>
      <c r="Z1109" s="5">
        <v>510</v>
      </c>
      <c r="AA1109" s="1" t="s">
        <v>3403</v>
      </c>
      <c r="AB1109" s="1"/>
      <c r="AC1109" s="1"/>
      <c r="AD1109" s="1"/>
      <c r="AE1109" s="1" t="s">
        <v>3736</v>
      </c>
      <c r="AF1109" s="1" t="s">
        <v>9</v>
      </c>
      <c r="AG1109" s="4">
        <v>44</v>
      </c>
      <c r="AH1109" s="1"/>
      <c r="AI1109" s="6">
        <v>44926</v>
      </c>
    </row>
    <row r="1110" spans="1:35" x14ac:dyDescent="0.3">
      <c r="A1110" s="1" t="s">
        <v>1399</v>
      </c>
      <c r="B1110" s="2" t="str">
        <f>HYPERLINK("https://my.zakupki.prom.ua/remote/dispatcher/state_purchase_lot_view/740583")</f>
        <v>https://my.zakupki.prom.ua/remote/dispatcher/state_purchase_lot_view/740583</v>
      </c>
      <c r="C1110" s="1" t="s">
        <v>3539</v>
      </c>
      <c r="D1110" s="1" t="s">
        <v>1189</v>
      </c>
      <c r="E1110" s="4">
        <v>25515</v>
      </c>
      <c r="F1110" s="5">
        <v>17.260000000000002</v>
      </c>
      <c r="G1110" s="1" t="s">
        <v>4938</v>
      </c>
      <c r="H1110" s="1" t="s">
        <v>140</v>
      </c>
      <c r="I1110" s="1" t="s">
        <v>4869</v>
      </c>
      <c r="J1110" s="5">
        <v>3384444</v>
      </c>
      <c r="K1110" s="5">
        <v>440440</v>
      </c>
      <c r="L1110" s="5">
        <v>2203</v>
      </c>
      <c r="M1110" s="1" t="s">
        <v>2308</v>
      </c>
      <c r="N1110" s="1" t="s">
        <v>3983</v>
      </c>
      <c r="O1110" s="1" t="s">
        <v>2521</v>
      </c>
      <c r="P1110" s="1" t="s">
        <v>2515</v>
      </c>
      <c r="Q1110" s="1" t="s">
        <v>2820</v>
      </c>
      <c r="R1110" s="1" t="s">
        <v>4534</v>
      </c>
      <c r="S1110" s="1" t="s">
        <v>4971</v>
      </c>
      <c r="T1110" s="6">
        <v>44593</v>
      </c>
      <c r="U1110" s="6">
        <v>44593</v>
      </c>
      <c r="V1110" s="7">
        <v>0.45117743642361113</v>
      </c>
      <c r="W1110" s="6">
        <v>44609</v>
      </c>
      <c r="X1110" s="7">
        <v>0.33333333333333331</v>
      </c>
      <c r="Y1110" s="8">
        <v>44610.571331018517</v>
      </c>
      <c r="Z1110" s="5">
        <v>510</v>
      </c>
      <c r="AA1110" s="1" t="s">
        <v>3403</v>
      </c>
      <c r="AB1110" s="1"/>
      <c r="AC1110" s="1"/>
      <c r="AD1110" s="1"/>
      <c r="AE1110" s="1" t="s">
        <v>3736</v>
      </c>
      <c r="AF1110" s="1" t="s">
        <v>9</v>
      </c>
      <c r="AG1110" s="4">
        <v>44</v>
      </c>
      <c r="AH1110" s="1"/>
      <c r="AI1110" s="6">
        <v>44926</v>
      </c>
    </row>
    <row r="1111" spans="1:35" x14ac:dyDescent="0.3">
      <c r="A1111" s="1" t="s">
        <v>1399</v>
      </c>
      <c r="B1111" s="2" t="str">
        <f>HYPERLINK("https://my.zakupki.prom.ua/remote/dispatcher/state_purchase_lot_view/740584")</f>
        <v>https://my.zakupki.prom.ua/remote/dispatcher/state_purchase_lot_view/740584</v>
      </c>
      <c r="C1111" s="1" t="s">
        <v>3539</v>
      </c>
      <c r="D1111" s="1" t="s">
        <v>1189</v>
      </c>
      <c r="E1111" s="4">
        <v>14652</v>
      </c>
      <c r="F1111" s="5">
        <v>17.3</v>
      </c>
      <c r="G1111" s="1" t="s">
        <v>4938</v>
      </c>
      <c r="H1111" s="1" t="s">
        <v>140</v>
      </c>
      <c r="I1111" s="1" t="s">
        <v>4869</v>
      </c>
      <c r="J1111" s="5">
        <v>3384444</v>
      </c>
      <c r="K1111" s="5">
        <v>253409</v>
      </c>
      <c r="L1111" s="5">
        <v>1268</v>
      </c>
      <c r="M1111" s="1" t="s">
        <v>2308</v>
      </c>
      <c r="N1111" s="1" t="s">
        <v>3983</v>
      </c>
      <c r="O1111" s="1" t="s">
        <v>2521</v>
      </c>
      <c r="P1111" s="1" t="s">
        <v>2515</v>
      </c>
      <c r="Q1111" s="1" t="s">
        <v>2820</v>
      </c>
      <c r="R1111" s="1" t="s">
        <v>4534</v>
      </c>
      <c r="S1111" s="1" t="s">
        <v>4971</v>
      </c>
      <c r="T1111" s="6">
        <v>44593</v>
      </c>
      <c r="U1111" s="6">
        <v>44593</v>
      </c>
      <c r="V1111" s="7">
        <v>0.45117743642361113</v>
      </c>
      <c r="W1111" s="6">
        <v>44609</v>
      </c>
      <c r="X1111" s="7">
        <v>0.33333333333333331</v>
      </c>
      <c r="Y1111" s="8">
        <v>44610.600347222222</v>
      </c>
      <c r="Z1111" s="5">
        <v>510</v>
      </c>
      <c r="AA1111" s="1" t="s">
        <v>3403</v>
      </c>
      <c r="AB1111" s="1"/>
      <c r="AC1111" s="1"/>
      <c r="AD1111" s="1"/>
      <c r="AE1111" s="1" t="s">
        <v>3736</v>
      </c>
      <c r="AF1111" s="1" t="s">
        <v>9</v>
      </c>
      <c r="AG1111" s="4">
        <v>44</v>
      </c>
      <c r="AH1111" s="1"/>
      <c r="AI1111" s="6">
        <v>44926</v>
      </c>
    </row>
    <row r="1112" spans="1:35" x14ac:dyDescent="0.3">
      <c r="A1112" s="1" t="s">
        <v>1399</v>
      </c>
      <c r="B1112" s="2" t="str">
        <f>HYPERLINK("https://my.zakupki.prom.ua/remote/dispatcher/state_purchase_lot_view/740585")</f>
        <v>https://my.zakupki.prom.ua/remote/dispatcher/state_purchase_lot_view/740585</v>
      </c>
      <c r="C1112" s="1" t="s">
        <v>3539</v>
      </c>
      <c r="D1112" s="1" t="s">
        <v>1189</v>
      </c>
      <c r="E1112" s="4">
        <v>4884</v>
      </c>
      <c r="F1112" s="5">
        <v>16.440000000000001</v>
      </c>
      <c r="G1112" s="1" t="s">
        <v>4938</v>
      </c>
      <c r="H1112" s="1" t="s">
        <v>140</v>
      </c>
      <c r="I1112" s="1" t="s">
        <v>4869</v>
      </c>
      <c r="J1112" s="5">
        <v>3384444</v>
      </c>
      <c r="K1112" s="5">
        <v>80273</v>
      </c>
      <c r="L1112" s="5">
        <v>402</v>
      </c>
      <c r="M1112" s="1" t="s">
        <v>2308</v>
      </c>
      <c r="N1112" s="1" t="s">
        <v>3983</v>
      </c>
      <c r="O1112" s="1" t="s">
        <v>2521</v>
      </c>
      <c r="P1112" s="1" t="s">
        <v>2515</v>
      </c>
      <c r="Q1112" s="1" t="s">
        <v>2820</v>
      </c>
      <c r="R1112" s="1" t="s">
        <v>4535</v>
      </c>
      <c r="S1112" s="1" t="s">
        <v>4971</v>
      </c>
      <c r="T1112" s="6">
        <v>44593</v>
      </c>
      <c r="U1112" s="6">
        <v>44593</v>
      </c>
      <c r="V1112" s="7">
        <v>0.45117743642361113</v>
      </c>
      <c r="W1112" s="6">
        <v>44609</v>
      </c>
      <c r="X1112" s="7">
        <v>0.33333333333333331</v>
      </c>
      <c r="Y1112" s="8">
        <v>44610.608773148146</v>
      </c>
      <c r="Z1112" s="5">
        <v>340</v>
      </c>
      <c r="AA1112" s="1" t="s">
        <v>3403</v>
      </c>
      <c r="AB1112" s="1"/>
      <c r="AC1112" s="1"/>
      <c r="AD1112" s="1"/>
      <c r="AE1112" s="1" t="s">
        <v>3736</v>
      </c>
      <c r="AF1112" s="1" t="s">
        <v>9</v>
      </c>
      <c r="AG1112" s="4">
        <v>44</v>
      </c>
      <c r="AH1112" s="1"/>
      <c r="AI1112" s="6">
        <v>44926</v>
      </c>
    </row>
    <row r="1113" spans="1:35" x14ac:dyDescent="0.3">
      <c r="A1113" s="1" t="s">
        <v>1399</v>
      </c>
      <c r="B1113" s="2" t="str">
        <f>HYPERLINK("https://my.zakupki.prom.ua/remote/dispatcher/state_purchase_lot_view/740586")</f>
        <v>https://my.zakupki.prom.ua/remote/dispatcher/state_purchase_lot_view/740586</v>
      </c>
      <c r="C1113" s="1" t="s">
        <v>3539</v>
      </c>
      <c r="D1113" s="1" t="s">
        <v>1189</v>
      </c>
      <c r="E1113" s="4">
        <v>12915</v>
      </c>
      <c r="F1113" s="5">
        <v>18.04</v>
      </c>
      <c r="G1113" s="1" t="s">
        <v>4938</v>
      </c>
      <c r="H1113" s="1" t="s">
        <v>140</v>
      </c>
      <c r="I1113" s="1" t="s">
        <v>4869</v>
      </c>
      <c r="J1113" s="5">
        <v>3384444</v>
      </c>
      <c r="K1113" s="5">
        <v>233033</v>
      </c>
      <c r="L1113" s="5">
        <v>1166</v>
      </c>
      <c r="M1113" s="1" t="s">
        <v>2308</v>
      </c>
      <c r="N1113" s="1" t="s">
        <v>3983</v>
      </c>
      <c r="O1113" s="1" t="s">
        <v>2521</v>
      </c>
      <c r="P1113" s="1" t="s">
        <v>2515</v>
      </c>
      <c r="Q1113" s="1" t="s">
        <v>2820</v>
      </c>
      <c r="R1113" s="1" t="s">
        <v>4534</v>
      </c>
      <c r="S1113" s="1" t="s">
        <v>4971</v>
      </c>
      <c r="T1113" s="6">
        <v>44593</v>
      </c>
      <c r="U1113" s="6">
        <v>44593</v>
      </c>
      <c r="V1113" s="7">
        <v>0.45117743642361113</v>
      </c>
      <c r="W1113" s="6">
        <v>44609</v>
      </c>
      <c r="X1113" s="7">
        <v>0.33333333333333331</v>
      </c>
      <c r="Y1113" s="8">
        <v>44610.630868055552</v>
      </c>
      <c r="Z1113" s="5">
        <v>510</v>
      </c>
      <c r="AA1113" s="1" t="s">
        <v>3403</v>
      </c>
      <c r="AB1113" s="1"/>
      <c r="AC1113" s="1"/>
      <c r="AD1113" s="1"/>
      <c r="AE1113" s="1" t="s">
        <v>3736</v>
      </c>
      <c r="AF1113" s="1" t="s">
        <v>9</v>
      </c>
      <c r="AG1113" s="4">
        <v>44</v>
      </c>
      <c r="AH1113" s="1"/>
      <c r="AI1113" s="6">
        <v>44926</v>
      </c>
    </row>
    <row r="1114" spans="1:35" x14ac:dyDescent="0.3">
      <c r="A1114" s="1" t="s">
        <v>1399</v>
      </c>
      <c r="B1114" s="2" t="str">
        <f>HYPERLINK("https://my.zakupki.prom.ua/remote/dispatcher/state_purchase_lot_view/740587")</f>
        <v>https://my.zakupki.prom.ua/remote/dispatcher/state_purchase_lot_view/740587</v>
      </c>
      <c r="C1114" s="1" t="s">
        <v>3539</v>
      </c>
      <c r="D1114" s="1" t="s">
        <v>1189</v>
      </c>
      <c r="E1114" s="4">
        <v>18270</v>
      </c>
      <c r="F1114" s="5">
        <v>18.68</v>
      </c>
      <c r="G1114" s="1" t="s">
        <v>4938</v>
      </c>
      <c r="H1114" s="1" t="s">
        <v>140</v>
      </c>
      <c r="I1114" s="1" t="s">
        <v>4869</v>
      </c>
      <c r="J1114" s="5">
        <v>3384444</v>
      </c>
      <c r="K1114" s="5">
        <v>341327</v>
      </c>
      <c r="L1114" s="5">
        <v>1707</v>
      </c>
      <c r="M1114" s="1" t="s">
        <v>2308</v>
      </c>
      <c r="N1114" s="1" t="s">
        <v>3983</v>
      </c>
      <c r="O1114" s="1" t="s">
        <v>2521</v>
      </c>
      <c r="P1114" s="1" t="s">
        <v>2515</v>
      </c>
      <c r="Q1114" s="1" t="s">
        <v>2820</v>
      </c>
      <c r="R1114" s="1" t="s">
        <v>4534</v>
      </c>
      <c r="S1114" s="1" t="s">
        <v>4971</v>
      </c>
      <c r="T1114" s="6">
        <v>44593</v>
      </c>
      <c r="U1114" s="6">
        <v>44593</v>
      </c>
      <c r="V1114" s="7">
        <v>0.45117743642361113</v>
      </c>
      <c r="W1114" s="6">
        <v>44609</v>
      </c>
      <c r="X1114" s="7">
        <v>0.33333333333333331</v>
      </c>
      <c r="Y1114" s="8">
        <v>44610.657326388886</v>
      </c>
      <c r="Z1114" s="5">
        <v>510</v>
      </c>
      <c r="AA1114" s="1" t="s">
        <v>3403</v>
      </c>
      <c r="AB1114" s="1"/>
      <c r="AC1114" s="1"/>
      <c r="AD1114" s="1"/>
      <c r="AE1114" s="1" t="s">
        <v>3736</v>
      </c>
      <c r="AF1114" s="1" t="s">
        <v>9</v>
      </c>
      <c r="AG1114" s="4">
        <v>44</v>
      </c>
      <c r="AH1114" s="1"/>
      <c r="AI1114" s="6">
        <v>44926</v>
      </c>
    </row>
    <row r="1115" spans="1:35" x14ac:dyDescent="0.3">
      <c r="A1115" s="1" t="s">
        <v>1399</v>
      </c>
      <c r="B1115" s="2" t="str">
        <f>HYPERLINK("https://my.zakupki.prom.ua/remote/dispatcher/state_purchase_lot_view/740588")</f>
        <v>https://my.zakupki.prom.ua/remote/dispatcher/state_purchase_lot_view/740588</v>
      </c>
      <c r="C1115" s="1" t="s">
        <v>3539</v>
      </c>
      <c r="D1115" s="1" t="s">
        <v>1189</v>
      </c>
      <c r="E1115" s="4">
        <v>880</v>
      </c>
      <c r="F1115" s="5">
        <v>35.799999999999997</v>
      </c>
      <c r="G1115" s="1" t="s">
        <v>4938</v>
      </c>
      <c r="H1115" s="1" t="s">
        <v>140</v>
      </c>
      <c r="I1115" s="1" t="s">
        <v>4869</v>
      </c>
      <c r="J1115" s="5">
        <v>3384444</v>
      </c>
      <c r="K1115" s="5">
        <v>31500</v>
      </c>
      <c r="L1115" s="5">
        <v>158</v>
      </c>
      <c r="M1115" s="1" t="s">
        <v>2308</v>
      </c>
      <c r="N1115" s="1" t="s">
        <v>3983</v>
      </c>
      <c r="O1115" s="1" t="s">
        <v>2521</v>
      </c>
      <c r="P1115" s="1" t="s">
        <v>2515</v>
      </c>
      <c r="Q1115" s="1" t="s">
        <v>2820</v>
      </c>
      <c r="R1115" s="1" t="s">
        <v>4534</v>
      </c>
      <c r="S1115" s="1" t="s">
        <v>4971</v>
      </c>
      <c r="T1115" s="6">
        <v>44593</v>
      </c>
      <c r="U1115" s="6">
        <v>44593</v>
      </c>
      <c r="V1115" s="7">
        <v>0.45117743642361113</v>
      </c>
      <c r="W1115" s="6">
        <v>44609</v>
      </c>
      <c r="X1115" s="7">
        <v>0.33333333333333331</v>
      </c>
      <c r="Y1115" s="8">
        <v>44610.475254629629</v>
      </c>
      <c r="Z1115" s="5">
        <v>119</v>
      </c>
      <c r="AA1115" s="1" t="s">
        <v>3403</v>
      </c>
      <c r="AB1115" s="1"/>
      <c r="AC1115" s="1"/>
      <c r="AD1115" s="1"/>
      <c r="AE1115" s="1" t="s">
        <v>3736</v>
      </c>
      <c r="AF1115" s="1" t="s">
        <v>9</v>
      </c>
      <c r="AG1115" s="4">
        <v>44</v>
      </c>
      <c r="AH1115" s="1"/>
      <c r="AI1115" s="6">
        <v>44926</v>
      </c>
    </row>
    <row r="1116" spans="1:35" x14ac:dyDescent="0.3">
      <c r="A1116" s="1" t="s">
        <v>1316</v>
      </c>
      <c r="B1116" s="2" t="str">
        <f>HYPERLINK("https://my.zakupki.prom.ua/remote/dispatcher/state_purchase_view/34678712")</f>
        <v>https://my.zakupki.prom.ua/remote/dispatcher/state_purchase_view/34678712</v>
      </c>
      <c r="C1116" s="1" t="s">
        <v>1230</v>
      </c>
      <c r="D1116" s="1" t="s">
        <v>1231</v>
      </c>
      <c r="E1116" s="4">
        <v>1</v>
      </c>
      <c r="F1116" s="5">
        <v>7080</v>
      </c>
      <c r="G1116" s="1" t="s">
        <v>4940</v>
      </c>
      <c r="H1116" s="1" t="s">
        <v>928</v>
      </c>
      <c r="I1116" s="1" t="s">
        <v>2568</v>
      </c>
      <c r="J1116" s="5">
        <v>7080</v>
      </c>
      <c r="K1116" s="1" t="s">
        <v>3394</v>
      </c>
      <c r="L1116" s="5">
        <v>35.4</v>
      </c>
      <c r="M1116" s="1" t="s">
        <v>2308</v>
      </c>
      <c r="N1116" s="1" t="s">
        <v>3983</v>
      </c>
      <c r="O1116" s="1" t="s">
        <v>2521</v>
      </c>
      <c r="P1116" s="1" t="s">
        <v>3956</v>
      </c>
      <c r="Q1116" s="1" t="s">
        <v>3264</v>
      </c>
      <c r="R1116" s="1" t="s">
        <v>4275</v>
      </c>
      <c r="S1116" s="1" t="s">
        <v>4937</v>
      </c>
      <c r="T1116" s="6">
        <v>44593</v>
      </c>
      <c r="U1116" s="6">
        <v>44599</v>
      </c>
      <c r="V1116" s="7">
        <v>0.45765046296296297</v>
      </c>
      <c r="W1116" s="6">
        <v>44607</v>
      </c>
      <c r="X1116" s="7">
        <v>0.45765046296296297</v>
      </c>
      <c r="Y1116" s="1" t="s">
        <v>4860</v>
      </c>
      <c r="Z1116" s="5">
        <v>17</v>
      </c>
      <c r="AA1116" s="1" t="s">
        <v>3403</v>
      </c>
      <c r="AB1116" s="1"/>
      <c r="AC1116" s="1"/>
      <c r="AD1116" s="1"/>
      <c r="AE1116" s="1" t="s">
        <v>3729</v>
      </c>
      <c r="AF1116" s="1" t="s">
        <v>9</v>
      </c>
      <c r="AG1116" s="4">
        <v>6</v>
      </c>
      <c r="AH1116" s="6">
        <v>44562</v>
      </c>
      <c r="AI1116" s="6">
        <v>44926</v>
      </c>
    </row>
    <row r="1117" spans="1:35" x14ac:dyDescent="0.3">
      <c r="A1117" s="1" t="s">
        <v>1689</v>
      </c>
      <c r="B1117" s="2" t="str">
        <f>HYPERLINK("https://my.zakupki.prom.ua/remote/dispatcher/state_purchase_view/34678709")</f>
        <v>https://my.zakupki.prom.ua/remote/dispatcher/state_purchase_view/34678709</v>
      </c>
      <c r="C1117" s="1" t="s">
        <v>3014</v>
      </c>
      <c r="D1117" s="1" t="s">
        <v>1145</v>
      </c>
      <c r="E1117" s="4">
        <v>1</v>
      </c>
      <c r="F1117" s="5">
        <v>295657.40000000002</v>
      </c>
      <c r="G1117" s="1" t="s">
        <v>4976</v>
      </c>
      <c r="H1117" s="1" t="s">
        <v>1071</v>
      </c>
      <c r="I1117" s="1" t="s">
        <v>2559</v>
      </c>
      <c r="J1117" s="5">
        <v>295657.40000000002</v>
      </c>
      <c r="K1117" s="1" t="s">
        <v>3394</v>
      </c>
      <c r="L1117" s="5">
        <v>1478.29</v>
      </c>
      <c r="M1117" s="1" t="s">
        <v>2308</v>
      </c>
      <c r="N1117" s="1" t="s">
        <v>3983</v>
      </c>
      <c r="O1117" s="1" t="s">
        <v>2521</v>
      </c>
      <c r="P1117" s="1" t="s">
        <v>3956</v>
      </c>
      <c r="Q1117" s="1" t="s">
        <v>4794</v>
      </c>
      <c r="R1117" s="1" t="s">
        <v>4549</v>
      </c>
      <c r="S1117" s="1" t="s">
        <v>4937</v>
      </c>
      <c r="T1117" s="6">
        <v>44593</v>
      </c>
      <c r="U1117" s="6">
        <v>44599</v>
      </c>
      <c r="V1117" s="7">
        <v>0.42986111111111114</v>
      </c>
      <c r="W1117" s="6">
        <v>44602</v>
      </c>
      <c r="X1117" s="7">
        <v>0.42986111111111114</v>
      </c>
      <c r="Y1117" s="1" t="s">
        <v>4860</v>
      </c>
      <c r="Z1117" s="5">
        <v>510</v>
      </c>
      <c r="AA1117" s="1" t="s">
        <v>3403</v>
      </c>
      <c r="AB1117" s="1"/>
      <c r="AC1117" s="1"/>
      <c r="AD1117" s="1"/>
      <c r="AE1117" s="1" t="s">
        <v>3709</v>
      </c>
      <c r="AF1117" s="1" t="s">
        <v>9</v>
      </c>
      <c r="AG1117" s="4">
        <v>3</v>
      </c>
      <c r="AH1117" s="1"/>
      <c r="AI1117" s="6">
        <v>44926</v>
      </c>
    </row>
    <row r="1118" spans="1:35" x14ac:dyDescent="0.3">
      <c r="A1118" s="1" t="s">
        <v>1313</v>
      </c>
      <c r="B1118" s="2" t="str">
        <f>HYPERLINK("https://my.zakupki.prom.ua/remote/dispatcher/state_purchase_view/34678699")</f>
        <v>https://my.zakupki.prom.ua/remote/dispatcher/state_purchase_view/34678699</v>
      </c>
      <c r="C1118" s="1" t="s">
        <v>2607</v>
      </c>
      <c r="D1118" s="1" t="s">
        <v>373</v>
      </c>
      <c r="E1118" s="1" t="s">
        <v>4903</v>
      </c>
      <c r="F1118" s="1" t="s">
        <v>4903</v>
      </c>
      <c r="G1118" s="1" t="s">
        <v>4903</v>
      </c>
      <c r="H1118" s="1" t="s">
        <v>139</v>
      </c>
      <c r="I1118" s="1" t="s">
        <v>2590</v>
      </c>
      <c r="J1118" s="5">
        <v>1728000</v>
      </c>
      <c r="K1118" s="1" t="s">
        <v>3394</v>
      </c>
      <c r="L1118" s="5">
        <v>17280</v>
      </c>
      <c r="M1118" s="1" t="s">
        <v>2308</v>
      </c>
      <c r="N1118" s="1" t="s">
        <v>3983</v>
      </c>
      <c r="O1118" s="1" t="s">
        <v>1184</v>
      </c>
      <c r="P1118" s="1" t="s">
        <v>2515</v>
      </c>
      <c r="Q1118" s="1" t="s">
        <v>3262</v>
      </c>
      <c r="R1118" s="1" t="s">
        <v>4040</v>
      </c>
      <c r="S1118" s="1" t="s">
        <v>4971</v>
      </c>
      <c r="T1118" s="6">
        <v>44593</v>
      </c>
      <c r="U1118" s="6">
        <v>44593</v>
      </c>
      <c r="V1118" s="7">
        <v>0.45111314812499997</v>
      </c>
      <c r="W1118" s="6">
        <v>44609</v>
      </c>
      <c r="X1118" s="7">
        <v>0.70833333333333337</v>
      </c>
      <c r="Y1118" s="8">
        <v>44610.620567129627</v>
      </c>
      <c r="Z1118" s="5">
        <v>1700</v>
      </c>
      <c r="AA1118" s="1" t="s">
        <v>3403</v>
      </c>
      <c r="AB1118" s="1"/>
      <c r="AC1118" s="1"/>
      <c r="AD1118" s="1"/>
      <c r="AE1118" s="1" t="s">
        <v>3803</v>
      </c>
      <c r="AF1118" s="1" t="s">
        <v>9</v>
      </c>
      <c r="AG1118" s="4">
        <v>4</v>
      </c>
      <c r="AH1118" s="1"/>
      <c r="AI1118" s="6">
        <v>44926</v>
      </c>
    </row>
    <row r="1119" spans="1:35" x14ac:dyDescent="0.3">
      <c r="A1119" s="1" t="s">
        <v>1702</v>
      </c>
      <c r="B1119" s="2" t="str">
        <f>HYPERLINK("https://my.zakupki.prom.ua/remote/dispatcher/state_purchase_view/34678577")</f>
        <v>https://my.zakupki.prom.ua/remote/dispatcher/state_purchase_view/34678577</v>
      </c>
      <c r="C1119" s="1" t="s">
        <v>2598</v>
      </c>
      <c r="D1119" s="1" t="s">
        <v>1303</v>
      </c>
      <c r="E1119" s="4">
        <v>2</v>
      </c>
      <c r="F1119" s="5">
        <v>12000</v>
      </c>
      <c r="G1119" s="1" t="s">
        <v>4991</v>
      </c>
      <c r="H1119" s="1" t="s">
        <v>410</v>
      </c>
      <c r="I1119" s="1" t="s">
        <v>3834</v>
      </c>
      <c r="J1119" s="5">
        <v>24000</v>
      </c>
      <c r="K1119" s="1" t="s">
        <v>3394</v>
      </c>
      <c r="L1119" s="5">
        <v>120</v>
      </c>
      <c r="M1119" s="1" t="s">
        <v>2308</v>
      </c>
      <c r="N1119" s="1" t="s">
        <v>3983</v>
      </c>
      <c r="O1119" s="1" t="s">
        <v>2521</v>
      </c>
      <c r="P1119" s="1" t="s">
        <v>3956</v>
      </c>
      <c r="Q1119" s="1" t="s">
        <v>3035</v>
      </c>
      <c r="R1119" s="1" t="s">
        <v>4623</v>
      </c>
      <c r="S1119" s="1" t="s">
        <v>4937</v>
      </c>
      <c r="T1119" s="6">
        <v>44593</v>
      </c>
      <c r="U1119" s="6">
        <v>44599</v>
      </c>
      <c r="V1119" s="7">
        <v>0.5</v>
      </c>
      <c r="W1119" s="6">
        <v>44602</v>
      </c>
      <c r="X1119" s="7">
        <v>0</v>
      </c>
      <c r="Y1119" s="1" t="s">
        <v>4860</v>
      </c>
      <c r="Z1119" s="5">
        <v>119</v>
      </c>
      <c r="AA1119" s="1" t="s">
        <v>3403</v>
      </c>
      <c r="AB1119" s="1"/>
      <c r="AC1119" s="1"/>
      <c r="AD1119" s="1"/>
      <c r="AE1119" s="1" t="s">
        <v>3810</v>
      </c>
      <c r="AF1119" s="1" t="s">
        <v>9</v>
      </c>
      <c r="AG1119" s="4">
        <v>5</v>
      </c>
      <c r="AH1119" s="1"/>
      <c r="AI1119" s="6">
        <v>44926</v>
      </c>
    </row>
    <row r="1120" spans="1:35" x14ac:dyDescent="0.3">
      <c r="A1120" s="1" t="s">
        <v>1699</v>
      </c>
      <c r="B1120" s="2" t="str">
        <f>HYPERLINK("https://my.zakupki.prom.ua/remote/dispatcher/state_purchase_view/34678572")</f>
        <v>https://my.zakupki.prom.ua/remote/dispatcher/state_purchase_view/34678572</v>
      </c>
      <c r="C1120" s="1" t="s">
        <v>3604</v>
      </c>
      <c r="D1120" s="1" t="s">
        <v>1199</v>
      </c>
      <c r="E1120" s="4">
        <v>1</v>
      </c>
      <c r="F1120" s="5">
        <v>20000</v>
      </c>
      <c r="G1120" s="1" t="s">
        <v>4940</v>
      </c>
      <c r="H1120" s="1" t="s">
        <v>288</v>
      </c>
      <c r="I1120" s="1" t="s">
        <v>2483</v>
      </c>
      <c r="J1120" s="5">
        <v>20000</v>
      </c>
      <c r="K1120" s="1" t="s">
        <v>3394</v>
      </c>
      <c r="L1120" s="5">
        <v>100</v>
      </c>
      <c r="M1120" s="1" t="s">
        <v>2308</v>
      </c>
      <c r="N1120" s="1" t="s">
        <v>3983</v>
      </c>
      <c r="O1120" s="1" t="s">
        <v>2521</v>
      </c>
      <c r="P1120" s="1" t="s">
        <v>3956</v>
      </c>
      <c r="Q1120" s="1" t="s">
        <v>4805</v>
      </c>
      <c r="R1120" s="1" t="s">
        <v>4128</v>
      </c>
      <c r="S1120" s="1" t="s">
        <v>4937</v>
      </c>
      <c r="T1120" s="6">
        <v>44593</v>
      </c>
      <c r="U1120" s="6">
        <v>44599</v>
      </c>
      <c r="V1120" s="7">
        <v>0.45694444444444443</v>
      </c>
      <c r="W1120" s="6">
        <v>44602</v>
      </c>
      <c r="X1120" s="7">
        <v>6.9444444444444447E-4</v>
      </c>
      <c r="Y1120" s="1" t="s">
        <v>4860</v>
      </c>
      <c r="Z1120" s="5">
        <v>17</v>
      </c>
      <c r="AA1120" s="1" t="s">
        <v>3403</v>
      </c>
      <c r="AB1120" s="1"/>
      <c r="AC1120" s="1"/>
      <c r="AD1120" s="1"/>
      <c r="AE1120" s="1" t="s">
        <v>3741</v>
      </c>
      <c r="AF1120" s="1" t="s">
        <v>9</v>
      </c>
      <c r="AG1120" s="1" t="s">
        <v>9</v>
      </c>
      <c r="AH1120" s="6">
        <v>44613</v>
      </c>
      <c r="AI1120" s="6">
        <v>44926</v>
      </c>
    </row>
    <row r="1121" spans="1:35" x14ac:dyDescent="0.3">
      <c r="A1121" s="1" t="s">
        <v>1693</v>
      </c>
      <c r="B1121" s="2" t="str">
        <f>HYPERLINK("https://my.zakupki.prom.ua/remote/dispatcher/state_purchase_view/34678522")</f>
        <v>https://my.zakupki.prom.ua/remote/dispatcher/state_purchase_view/34678522</v>
      </c>
      <c r="C1121" s="1" t="s">
        <v>3620</v>
      </c>
      <c r="D1121" s="1" t="s">
        <v>1264</v>
      </c>
      <c r="E1121" s="4">
        <v>200</v>
      </c>
      <c r="F1121" s="5">
        <v>100</v>
      </c>
      <c r="G1121" s="1" t="s">
        <v>4940</v>
      </c>
      <c r="H1121" s="1" t="s">
        <v>91</v>
      </c>
      <c r="I1121" s="1" t="s">
        <v>2888</v>
      </c>
      <c r="J1121" s="5">
        <v>20000</v>
      </c>
      <c r="K1121" s="1" t="s">
        <v>3394</v>
      </c>
      <c r="L1121" s="5">
        <v>100</v>
      </c>
      <c r="M1121" s="1" t="s">
        <v>2308</v>
      </c>
      <c r="N1121" s="1" t="s">
        <v>3983</v>
      </c>
      <c r="O1121" s="1" t="s">
        <v>2521</v>
      </c>
      <c r="P1121" s="1" t="s">
        <v>3956</v>
      </c>
      <c r="Q1121" s="1" t="s">
        <v>3325</v>
      </c>
      <c r="R1121" s="1" t="s">
        <v>4494</v>
      </c>
      <c r="S1121" s="1" t="s">
        <v>4937</v>
      </c>
      <c r="T1121" s="6">
        <v>44593</v>
      </c>
      <c r="U1121" s="6">
        <v>44599</v>
      </c>
      <c r="V1121" s="7">
        <v>0.45624999999999999</v>
      </c>
      <c r="W1121" s="6">
        <v>44602</v>
      </c>
      <c r="X1121" s="7">
        <v>0.45624999999999999</v>
      </c>
      <c r="Y1121" s="1" t="s">
        <v>4860</v>
      </c>
      <c r="Z1121" s="5">
        <v>17</v>
      </c>
      <c r="AA1121" s="1" t="s">
        <v>3403</v>
      </c>
      <c r="AB1121" s="1"/>
      <c r="AC1121" s="1"/>
      <c r="AD1121" s="1"/>
      <c r="AE1121" s="1" t="s">
        <v>3741</v>
      </c>
      <c r="AF1121" s="1" t="s">
        <v>9</v>
      </c>
      <c r="AG1121" s="4">
        <v>17</v>
      </c>
      <c r="AH1121" s="6">
        <v>44593</v>
      </c>
      <c r="AI1121" s="6">
        <v>44926</v>
      </c>
    </row>
    <row r="1122" spans="1:35" x14ac:dyDescent="0.3">
      <c r="A1122" s="1" t="s">
        <v>1687</v>
      </c>
      <c r="B1122" s="2" t="str">
        <f>HYPERLINK("https://my.zakupki.prom.ua/remote/dispatcher/state_purchase_view/34678484")</f>
        <v>https://my.zakupki.prom.ua/remote/dispatcher/state_purchase_view/34678484</v>
      </c>
      <c r="C1122" s="1" t="s">
        <v>1119</v>
      </c>
      <c r="D1122" s="1" t="s">
        <v>1121</v>
      </c>
      <c r="E1122" s="1" t="s">
        <v>4903</v>
      </c>
      <c r="F1122" s="1" t="s">
        <v>4903</v>
      </c>
      <c r="G1122" s="1" t="s">
        <v>4903</v>
      </c>
      <c r="H1122" s="1" t="s">
        <v>934</v>
      </c>
      <c r="I1122" s="1" t="s">
        <v>2894</v>
      </c>
      <c r="J1122" s="5">
        <v>199620</v>
      </c>
      <c r="K1122" s="1" t="s">
        <v>3394</v>
      </c>
      <c r="L1122" s="5">
        <v>1000</v>
      </c>
      <c r="M1122" s="1" t="s">
        <v>2308</v>
      </c>
      <c r="N1122" s="1" t="s">
        <v>3983</v>
      </c>
      <c r="O1122" s="1" t="s">
        <v>2521</v>
      </c>
      <c r="P1122" s="1" t="s">
        <v>3956</v>
      </c>
      <c r="Q1122" s="1" t="s">
        <v>4834</v>
      </c>
      <c r="R1122" s="1" t="s">
        <v>4442</v>
      </c>
      <c r="S1122" s="1" t="s">
        <v>4937</v>
      </c>
      <c r="T1122" s="6">
        <v>44593</v>
      </c>
      <c r="U1122" s="6">
        <v>44599</v>
      </c>
      <c r="V1122" s="7">
        <v>0.58333333333333337</v>
      </c>
      <c r="W1122" s="6">
        <v>44606</v>
      </c>
      <c r="X1122" s="7">
        <v>0.33333333333333331</v>
      </c>
      <c r="Y1122" s="1" t="s">
        <v>4860</v>
      </c>
      <c r="Z1122" s="5">
        <v>340</v>
      </c>
      <c r="AA1122" s="1" t="s">
        <v>3403</v>
      </c>
      <c r="AB1122" s="1"/>
      <c r="AC1122" s="1"/>
      <c r="AD1122" s="1"/>
      <c r="AE1122" s="1" t="s">
        <v>3776</v>
      </c>
      <c r="AF1122" s="1" t="s">
        <v>9</v>
      </c>
      <c r="AG1122" s="4">
        <v>10</v>
      </c>
      <c r="AH1122" s="1"/>
      <c r="AI1122" s="6">
        <v>44926</v>
      </c>
    </row>
    <row r="1123" spans="1:35" x14ac:dyDescent="0.3">
      <c r="A1123" s="1" t="s">
        <v>1682</v>
      </c>
      <c r="B1123" s="2" t="str">
        <f>HYPERLINK("https://my.zakupki.prom.ua/remote/dispatcher/state_purchase_view/34678464")</f>
        <v>https://my.zakupki.prom.ua/remote/dispatcher/state_purchase_view/34678464</v>
      </c>
      <c r="C1123" s="1" t="s">
        <v>2645</v>
      </c>
      <c r="D1123" s="1" t="s">
        <v>1170</v>
      </c>
      <c r="E1123" s="4">
        <v>1</v>
      </c>
      <c r="F1123" s="5">
        <v>15000</v>
      </c>
      <c r="G1123" s="1" t="s">
        <v>4940</v>
      </c>
      <c r="H1123" s="1" t="s">
        <v>122</v>
      </c>
      <c r="I1123" s="1" t="s">
        <v>2907</v>
      </c>
      <c r="J1123" s="5">
        <v>15000</v>
      </c>
      <c r="K1123" s="1" t="s">
        <v>3394</v>
      </c>
      <c r="L1123" s="5">
        <v>75</v>
      </c>
      <c r="M1123" s="1" t="s">
        <v>2308</v>
      </c>
      <c r="N1123" s="1" t="s">
        <v>3983</v>
      </c>
      <c r="O1123" s="1" t="s">
        <v>2521</v>
      </c>
      <c r="P1123" s="1" t="s">
        <v>3956</v>
      </c>
      <c r="Q1123" s="1" t="s">
        <v>4834</v>
      </c>
      <c r="R1123" s="1" t="s">
        <v>4081</v>
      </c>
      <c r="S1123" s="1" t="s">
        <v>4937</v>
      </c>
      <c r="T1123" s="6">
        <v>44593</v>
      </c>
      <c r="U1123" s="6">
        <v>44599</v>
      </c>
      <c r="V1123" s="7">
        <v>0.41666666666666669</v>
      </c>
      <c r="W1123" s="6">
        <v>44602</v>
      </c>
      <c r="X1123" s="7">
        <v>0.41666666666666669</v>
      </c>
      <c r="Y1123" s="1" t="s">
        <v>4860</v>
      </c>
      <c r="Z1123" s="5">
        <v>17</v>
      </c>
      <c r="AA1123" s="1" t="s">
        <v>3403</v>
      </c>
      <c r="AB1123" s="1"/>
      <c r="AC1123" s="1"/>
      <c r="AD1123" s="1"/>
      <c r="AE1123" s="1" t="s">
        <v>3727</v>
      </c>
      <c r="AF1123" s="1" t="s">
        <v>9</v>
      </c>
      <c r="AG1123" s="4">
        <v>13</v>
      </c>
      <c r="AH1123" s="1"/>
      <c r="AI1123" s="6">
        <v>44926</v>
      </c>
    </row>
    <row r="1124" spans="1:35" x14ac:dyDescent="0.3">
      <c r="A1124" s="1" t="s">
        <v>1678</v>
      </c>
      <c r="B1124" s="2" t="str">
        <f>HYPERLINK("https://my.zakupki.prom.ua/remote/dispatcher/state_purchase_view/34678443")</f>
        <v>https://my.zakupki.prom.ua/remote/dispatcher/state_purchase_view/34678443</v>
      </c>
      <c r="C1124" s="1" t="s">
        <v>3378</v>
      </c>
      <c r="D1124" s="1" t="s">
        <v>1022</v>
      </c>
      <c r="E1124" s="4">
        <v>1</v>
      </c>
      <c r="F1124" s="5">
        <v>12183</v>
      </c>
      <c r="G1124" s="1" t="s">
        <v>4991</v>
      </c>
      <c r="H1124" s="1" t="s">
        <v>871</v>
      </c>
      <c r="I1124" s="1" t="s">
        <v>2926</v>
      </c>
      <c r="J1124" s="5">
        <v>12183</v>
      </c>
      <c r="K1124" s="1" t="s">
        <v>3394</v>
      </c>
      <c r="L1124" s="5">
        <v>60.92</v>
      </c>
      <c r="M1124" s="1" t="s">
        <v>2308</v>
      </c>
      <c r="N1124" s="1" t="s">
        <v>3983</v>
      </c>
      <c r="O1124" s="1" t="s">
        <v>2521</v>
      </c>
      <c r="P1124" s="1" t="s">
        <v>3956</v>
      </c>
      <c r="Q1124" s="1" t="s">
        <v>2528</v>
      </c>
      <c r="R1124" s="1" t="s">
        <v>4085</v>
      </c>
      <c r="S1124" s="1" t="s">
        <v>4937</v>
      </c>
      <c r="T1124" s="6">
        <v>44593</v>
      </c>
      <c r="U1124" s="6">
        <v>44602</v>
      </c>
      <c r="V1124" s="7">
        <v>0.625</v>
      </c>
      <c r="W1124" s="6">
        <v>44607</v>
      </c>
      <c r="X1124" s="7">
        <v>0</v>
      </c>
      <c r="Y1124" s="1" t="s">
        <v>4860</v>
      </c>
      <c r="Z1124" s="5">
        <v>17</v>
      </c>
      <c r="AA1124" s="1" t="s">
        <v>3403</v>
      </c>
      <c r="AB1124" s="1"/>
      <c r="AC1124" s="1"/>
      <c r="AD1124" s="1"/>
      <c r="AE1124" s="1" t="s">
        <v>3801</v>
      </c>
      <c r="AF1124" s="1" t="s">
        <v>9</v>
      </c>
      <c r="AG1124" s="4">
        <v>1</v>
      </c>
      <c r="AH1124" s="6">
        <v>44608</v>
      </c>
      <c r="AI1124" s="6">
        <v>44615</v>
      </c>
    </row>
    <row r="1125" spans="1:35" x14ac:dyDescent="0.3">
      <c r="A1125" s="1" t="s">
        <v>1676</v>
      </c>
      <c r="B1125" s="2" t="str">
        <f>HYPERLINK("https://my.zakupki.prom.ua/remote/dispatcher/state_purchase_view/34678415")</f>
        <v>https://my.zakupki.prom.ua/remote/dispatcher/state_purchase_view/34678415</v>
      </c>
      <c r="C1125" s="1" t="s">
        <v>2633</v>
      </c>
      <c r="D1125" s="1" t="s">
        <v>1223</v>
      </c>
      <c r="E1125" s="4">
        <v>6</v>
      </c>
      <c r="F1125" s="5">
        <v>1150</v>
      </c>
      <c r="G1125" s="1" t="s">
        <v>4940</v>
      </c>
      <c r="H1125" s="1" t="s">
        <v>1075</v>
      </c>
      <c r="I1125" s="1" t="s">
        <v>3460</v>
      </c>
      <c r="J1125" s="5">
        <v>6900</v>
      </c>
      <c r="K1125" s="1" t="s">
        <v>3394</v>
      </c>
      <c r="L1125" s="5">
        <v>34.5</v>
      </c>
      <c r="M1125" s="1" t="s">
        <v>2308</v>
      </c>
      <c r="N1125" s="1" t="s">
        <v>3983</v>
      </c>
      <c r="O1125" s="1" t="s">
        <v>2521</v>
      </c>
      <c r="P1125" s="1" t="s">
        <v>3956</v>
      </c>
      <c r="Q1125" s="1" t="s">
        <v>3504</v>
      </c>
      <c r="R1125" s="1" t="s">
        <v>4081</v>
      </c>
      <c r="S1125" s="1" t="s">
        <v>4937</v>
      </c>
      <c r="T1125" s="6">
        <v>44593</v>
      </c>
      <c r="U1125" s="6">
        <v>44599</v>
      </c>
      <c r="V1125" s="7">
        <v>0.375</v>
      </c>
      <c r="W1125" s="6">
        <v>44602</v>
      </c>
      <c r="X1125" s="7">
        <v>0.375</v>
      </c>
      <c r="Y1125" s="1" t="s">
        <v>4860</v>
      </c>
      <c r="Z1125" s="5">
        <v>17</v>
      </c>
      <c r="AA1125" s="1" t="s">
        <v>3403</v>
      </c>
      <c r="AB1125" s="1"/>
      <c r="AC1125" s="1"/>
      <c r="AD1125" s="1"/>
      <c r="AE1125" s="1" t="s">
        <v>3759</v>
      </c>
      <c r="AF1125" s="1" t="s">
        <v>9</v>
      </c>
      <c r="AG1125" s="4">
        <v>15</v>
      </c>
      <c r="AH1125" s="1"/>
      <c r="AI1125" s="6">
        <v>44915</v>
      </c>
    </row>
    <row r="1126" spans="1:35" x14ac:dyDescent="0.3">
      <c r="A1126" s="1" t="s">
        <v>1673</v>
      </c>
      <c r="B1126" s="2" t="str">
        <f>HYPERLINK("https://my.zakupki.prom.ua/remote/dispatcher/state_purchase_view/34678404")</f>
        <v>https://my.zakupki.prom.ua/remote/dispatcher/state_purchase_view/34678404</v>
      </c>
      <c r="C1126" s="1" t="s">
        <v>2636</v>
      </c>
      <c r="D1126" s="1" t="s">
        <v>377</v>
      </c>
      <c r="E1126" s="1" t="s">
        <v>4903</v>
      </c>
      <c r="F1126" s="1" t="s">
        <v>4903</v>
      </c>
      <c r="G1126" s="1" t="s">
        <v>4903</v>
      </c>
      <c r="H1126" s="1" t="s">
        <v>745</v>
      </c>
      <c r="I1126" s="1" t="s">
        <v>2951</v>
      </c>
      <c r="J1126" s="5">
        <v>669300</v>
      </c>
      <c r="K1126" s="1" t="s">
        <v>3394</v>
      </c>
      <c r="L1126" s="5">
        <v>3346.5</v>
      </c>
      <c r="M1126" s="1" t="s">
        <v>2308</v>
      </c>
      <c r="N1126" s="1" t="s">
        <v>3983</v>
      </c>
      <c r="O1126" s="1" t="s">
        <v>2521</v>
      </c>
      <c r="P1126" s="1" t="s">
        <v>2515</v>
      </c>
      <c r="Q1126" s="1" t="s">
        <v>3262</v>
      </c>
      <c r="R1126" s="1" t="s">
        <v>4153</v>
      </c>
      <c r="S1126" s="1" t="s">
        <v>4971</v>
      </c>
      <c r="T1126" s="6">
        <v>44593</v>
      </c>
      <c r="U1126" s="6">
        <v>44593</v>
      </c>
      <c r="V1126" s="7">
        <v>0.45529278121527778</v>
      </c>
      <c r="W1126" s="6">
        <v>44609</v>
      </c>
      <c r="X1126" s="7">
        <v>0.44444444444444442</v>
      </c>
      <c r="Y1126" s="8">
        <v>44610.51358796296</v>
      </c>
      <c r="Z1126" s="5">
        <v>510</v>
      </c>
      <c r="AA1126" s="1" t="s">
        <v>3403</v>
      </c>
      <c r="AB1126" s="1"/>
      <c r="AC1126" s="1"/>
      <c r="AD1126" s="1"/>
      <c r="AE1126" s="1" t="s">
        <v>3777</v>
      </c>
      <c r="AF1126" s="1" t="s">
        <v>9</v>
      </c>
      <c r="AG1126" s="1" t="s">
        <v>9</v>
      </c>
      <c r="AH1126" s="6">
        <v>44621</v>
      </c>
      <c r="AI1126" s="6">
        <v>44926</v>
      </c>
    </row>
    <row r="1127" spans="1:35" x14ac:dyDescent="0.3">
      <c r="A1127" s="1" t="s">
        <v>1397</v>
      </c>
      <c r="B1127" s="2" t="str">
        <f>HYPERLINK("https://my.zakupki.prom.ua/remote/dispatcher/state_purchase_view/34678248")</f>
        <v>https://my.zakupki.prom.ua/remote/dispatcher/state_purchase_view/34678248</v>
      </c>
      <c r="C1127" s="1" t="s">
        <v>3661</v>
      </c>
      <c r="D1127" s="1" t="s">
        <v>704</v>
      </c>
      <c r="E1127" s="4">
        <v>5</v>
      </c>
      <c r="F1127" s="5">
        <v>7000</v>
      </c>
      <c r="G1127" s="1" t="s">
        <v>4991</v>
      </c>
      <c r="H1127" s="1" t="s">
        <v>23</v>
      </c>
      <c r="I1127" s="1" t="s">
        <v>2391</v>
      </c>
      <c r="J1127" s="5">
        <v>35000</v>
      </c>
      <c r="K1127" s="1" t="s">
        <v>3394</v>
      </c>
      <c r="L1127" s="5">
        <v>175</v>
      </c>
      <c r="M1127" s="1" t="s">
        <v>2308</v>
      </c>
      <c r="N1127" s="1" t="s">
        <v>3983</v>
      </c>
      <c r="O1127" s="1" t="s">
        <v>2521</v>
      </c>
      <c r="P1127" s="1" t="s">
        <v>3956</v>
      </c>
      <c r="Q1127" s="1" t="s">
        <v>3035</v>
      </c>
      <c r="R1127" s="1" t="s">
        <v>4077</v>
      </c>
      <c r="S1127" s="1" t="s">
        <v>4937</v>
      </c>
      <c r="T1127" s="6">
        <v>44593</v>
      </c>
      <c r="U1127" s="6">
        <v>44599</v>
      </c>
      <c r="V1127" s="7">
        <v>0.41666666666666669</v>
      </c>
      <c r="W1127" s="6">
        <v>44602</v>
      </c>
      <c r="X1127" s="7">
        <v>0.41666666666666669</v>
      </c>
      <c r="Y1127" s="1" t="s">
        <v>4860</v>
      </c>
      <c r="Z1127" s="5">
        <v>119</v>
      </c>
      <c r="AA1127" s="1" t="s">
        <v>3403</v>
      </c>
      <c r="AB1127" s="1"/>
      <c r="AC1127" s="1"/>
      <c r="AD1127" s="1"/>
      <c r="AE1127" s="1" t="s">
        <v>3771</v>
      </c>
      <c r="AF1127" s="1" t="s">
        <v>9</v>
      </c>
      <c r="AG1127" s="4">
        <v>2</v>
      </c>
      <c r="AH1127" s="6">
        <v>44613</v>
      </c>
      <c r="AI1127" s="6">
        <v>44651</v>
      </c>
    </row>
    <row r="1128" spans="1:35" x14ac:dyDescent="0.3">
      <c r="A1128" s="1" t="s">
        <v>1387</v>
      </c>
      <c r="B1128" s="2" t="str">
        <f>HYPERLINK("https://my.zakupki.prom.ua/remote/dispatcher/state_purchase_view/34678243")</f>
        <v>https://my.zakupki.prom.ua/remote/dispatcher/state_purchase_view/34678243</v>
      </c>
      <c r="C1128" s="1" t="s">
        <v>3546</v>
      </c>
      <c r="D1128" s="1" t="s">
        <v>1227</v>
      </c>
      <c r="E1128" s="4">
        <v>9021</v>
      </c>
      <c r="F1128" s="5">
        <v>120</v>
      </c>
      <c r="G1128" s="1" t="s">
        <v>4940</v>
      </c>
      <c r="H1128" s="1" t="s">
        <v>894</v>
      </c>
      <c r="I1128" s="1" t="s">
        <v>4745</v>
      </c>
      <c r="J1128" s="5">
        <v>1082520</v>
      </c>
      <c r="K1128" s="1" t="s">
        <v>3394</v>
      </c>
      <c r="L1128" s="5">
        <v>5412.6</v>
      </c>
      <c r="M1128" s="1" t="s">
        <v>2308</v>
      </c>
      <c r="N1128" s="1" t="s">
        <v>3983</v>
      </c>
      <c r="O1128" s="1" t="s">
        <v>2521</v>
      </c>
      <c r="P1128" s="1" t="s">
        <v>2515</v>
      </c>
      <c r="Q1128" s="1" t="s">
        <v>3035</v>
      </c>
      <c r="R1128" s="1" t="s">
        <v>4081</v>
      </c>
      <c r="S1128" s="1" t="s">
        <v>4971</v>
      </c>
      <c r="T1128" s="6">
        <v>44593</v>
      </c>
      <c r="U1128" s="6">
        <v>44593</v>
      </c>
      <c r="V1128" s="7">
        <v>0.44768127369212962</v>
      </c>
      <c r="W1128" s="6">
        <v>44609</v>
      </c>
      <c r="X1128" s="7">
        <v>0</v>
      </c>
      <c r="Y1128" s="8">
        <v>44609.623993055553</v>
      </c>
      <c r="Z1128" s="5">
        <v>1700</v>
      </c>
      <c r="AA1128" s="1" t="s">
        <v>3403</v>
      </c>
      <c r="AB1128" s="1"/>
      <c r="AC1128" s="1"/>
      <c r="AD1128" s="1"/>
      <c r="AE1128" s="1" t="s">
        <v>3727</v>
      </c>
      <c r="AF1128" s="1" t="s">
        <v>9</v>
      </c>
      <c r="AG1128" s="4">
        <v>165</v>
      </c>
      <c r="AH1128" s="1"/>
      <c r="AI1128" s="6">
        <v>44926</v>
      </c>
    </row>
    <row r="1129" spans="1:35" x14ac:dyDescent="0.3">
      <c r="A1129" s="1" t="s">
        <v>1409</v>
      </c>
      <c r="B1129" s="2" t="str">
        <f>HYPERLINK("https://my.zakupki.prom.ua/remote/dispatcher/state_purchase_view/34678211")</f>
        <v>https://my.zakupki.prom.ua/remote/dispatcher/state_purchase_view/34678211</v>
      </c>
      <c r="C1129" s="1" t="s">
        <v>3674</v>
      </c>
      <c r="D1129" s="1" t="s">
        <v>485</v>
      </c>
      <c r="E1129" s="1" t="s">
        <v>4903</v>
      </c>
      <c r="F1129" s="1" t="s">
        <v>4903</v>
      </c>
      <c r="G1129" s="1" t="s">
        <v>4903</v>
      </c>
      <c r="H1129" s="1" t="s">
        <v>1099</v>
      </c>
      <c r="I1129" s="1" t="s">
        <v>4742</v>
      </c>
      <c r="J1129" s="5">
        <v>1739100</v>
      </c>
      <c r="K1129" s="1" t="s">
        <v>3394</v>
      </c>
      <c r="L1129" s="5">
        <v>8695.5</v>
      </c>
      <c r="M1129" s="1" t="s">
        <v>2308</v>
      </c>
      <c r="N1129" s="1" t="s">
        <v>3983</v>
      </c>
      <c r="O1129" s="1" t="s">
        <v>2521</v>
      </c>
      <c r="P1129" s="1" t="s">
        <v>2515</v>
      </c>
      <c r="Q1129" s="1" t="s">
        <v>2761</v>
      </c>
      <c r="R1129" s="1" t="s">
        <v>4081</v>
      </c>
      <c r="S1129" s="1" t="s">
        <v>4971</v>
      </c>
      <c r="T1129" s="6">
        <v>44593</v>
      </c>
      <c r="U1129" s="6">
        <v>44593</v>
      </c>
      <c r="V1129" s="7">
        <v>0.45251978983796293</v>
      </c>
      <c r="W1129" s="6">
        <v>44609</v>
      </c>
      <c r="X1129" s="7">
        <v>0</v>
      </c>
      <c r="Y1129" s="8">
        <v>44609.647824074076</v>
      </c>
      <c r="Z1129" s="5">
        <v>1700</v>
      </c>
      <c r="AA1129" s="1" t="s">
        <v>3403</v>
      </c>
      <c r="AB1129" s="1"/>
      <c r="AC1129" s="1"/>
      <c r="AD1129" s="1"/>
      <c r="AE1129" s="1" t="s">
        <v>3767</v>
      </c>
      <c r="AF1129" s="1" t="s">
        <v>9</v>
      </c>
      <c r="AG1129" s="4">
        <v>6</v>
      </c>
      <c r="AH1129" s="1"/>
      <c r="AI1129" s="6">
        <v>44926</v>
      </c>
    </row>
    <row r="1130" spans="1:35" x14ac:dyDescent="0.3">
      <c r="A1130" s="1" t="s">
        <v>1385</v>
      </c>
      <c r="B1130" s="2" t="str">
        <f>HYPERLINK("https://my.zakupki.prom.ua/remote/dispatcher/state_purchase_view/34678204")</f>
        <v>https://my.zakupki.prom.ua/remote/dispatcher/state_purchase_view/34678204</v>
      </c>
      <c r="C1130" s="1" t="s">
        <v>788</v>
      </c>
      <c r="D1130" s="1" t="s">
        <v>789</v>
      </c>
      <c r="E1130" s="1" t="s">
        <v>4903</v>
      </c>
      <c r="F1130" s="1" t="s">
        <v>4903</v>
      </c>
      <c r="G1130" s="1" t="s">
        <v>4903</v>
      </c>
      <c r="H1130" s="1" t="s">
        <v>993</v>
      </c>
      <c r="I1130" s="1" t="s">
        <v>6</v>
      </c>
      <c r="J1130" s="5">
        <v>111000</v>
      </c>
      <c r="K1130" s="1" t="s">
        <v>3394</v>
      </c>
      <c r="L1130" s="5">
        <v>555</v>
      </c>
      <c r="M1130" s="1" t="s">
        <v>2308</v>
      </c>
      <c r="N1130" s="1" t="s">
        <v>3983</v>
      </c>
      <c r="O1130" s="1" t="s">
        <v>2521</v>
      </c>
      <c r="P1130" s="1" t="s">
        <v>3956</v>
      </c>
      <c r="Q1130" s="1" t="s">
        <v>3264</v>
      </c>
      <c r="R1130" s="1" t="s">
        <v>4445</v>
      </c>
      <c r="S1130" s="1" t="s">
        <v>4937</v>
      </c>
      <c r="T1130" s="6">
        <v>44593</v>
      </c>
      <c r="U1130" s="6">
        <v>44599</v>
      </c>
      <c r="V1130" s="7">
        <v>0</v>
      </c>
      <c r="W1130" s="6">
        <v>44602</v>
      </c>
      <c r="X1130" s="7">
        <v>0</v>
      </c>
      <c r="Y1130" s="1" t="s">
        <v>4860</v>
      </c>
      <c r="Z1130" s="5">
        <v>340</v>
      </c>
      <c r="AA1130" s="1" t="s">
        <v>3403</v>
      </c>
      <c r="AB1130" s="1"/>
      <c r="AC1130" s="1"/>
      <c r="AD1130" s="1"/>
      <c r="AE1130" s="1" t="s">
        <v>3788</v>
      </c>
      <c r="AF1130" s="1" t="s">
        <v>9</v>
      </c>
      <c r="AG1130" s="4">
        <v>1</v>
      </c>
      <c r="AH1130" s="1"/>
      <c r="AI1130" s="6">
        <v>44926</v>
      </c>
    </row>
    <row r="1131" spans="1:35" x14ac:dyDescent="0.3">
      <c r="A1131" s="1" t="s">
        <v>1648</v>
      </c>
      <c r="B1131" s="2" t="str">
        <f>HYPERLINK("https://my.zakupki.prom.ua/remote/dispatcher/state_purchase_lot_view/740565")</f>
        <v>https://my.zakupki.prom.ua/remote/dispatcher/state_purchase_lot_view/740565</v>
      </c>
      <c r="C1131" s="1" t="s">
        <v>3256</v>
      </c>
      <c r="D1131" s="1" t="s">
        <v>441</v>
      </c>
      <c r="E1131" s="4">
        <v>1540</v>
      </c>
      <c r="F1131" s="5">
        <v>130</v>
      </c>
      <c r="G1131" s="1" t="s">
        <v>4883</v>
      </c>
      <c r="H1131" s="1" t="s">
        <v>182</v>
      </c>
      <c r="I1131" s="1" t="s">
        <v>2707</v>
      </c>
      <c r="J1131" s="5">
        <v>527450</v>
      </c>
      <c r="K1131" s="5">
        <v>200200</v>
      </c>
      <c r="L1131" s="5">
        <v>1001</v>
      </c>
      <c r="M1131" s="1" t="s">
        <v>2308</v>
      </c>
      <c r="N1131" s="1" t="s">
        <v>3983</v>
      </c>
      <c r="O1131" s="1" t="s">
        <v>2521</v>
      </c>
      <c r="P1131" s="1" t="s">
        <v>2515</v>
      </c>
      <c r="Q1131" s="1" t="s">
        <v>2334</v>
      </c>
      <c r="R1131" s="1" t="s">
        <v>4050</v>
      </c>
      <c r="S1131" s="1" t="s">
        <v>4971</v>
      </c>
      <c r="T1131" s="6">
        <v>44593</v>
      </c>
      <c r="U1131" s="6">
        <v>44593</v>
      </c>
      <c r="V1131" s="7">
        <v>0.45309027777777777</v>
      </c>
      <c r="W1131" s="6">
        <v>44610</v>
      </c>
      <c r="X1131" s="7">
        <v>0.54166666666666663</v>
      </c>
      <c r="Y1131" s="8">
        <v>44613.584988425922</v>
      </c>
      <c r="Z1131" s="5">
        <v>510</v>
      </c>
      <c r="AA1131" s="1" t="s">
        <v>3403</v>
      </c>
      <c r="AB1131" s="1"/>
      <c r="AC1131" s="1"/>
      <c r="AD1131" s="1"/>
      <c r="AE1131" s="1" t="s">
        <v>3775</v>
      </c>
      <c r="AF1131" s="1" t="s">
        <v>9</v>
      </c>
      <c r="AG1131" s="4">
        <v>1</v>
      </c>
      <c r="AH1131" s="6">
        <v>44621</v>
      </c>
      <c r="AI1131" s="6">
        <v>44926</v>
      </c>
    </row>
    <row r="1132" spans="1:35" x14ac:dyDescent="0.3">
      <c r="A1132" s="1" t="s">
        <v>1648</v>
      </c>
      <c r="B1132" s="2" t="str">
        <f>HYPERLINK("https://my.zakupki.prom.ua/remote/dispatcher/state_purchase_lot_view/740566")</f>
        <v>https://my.zakupki.prom.ua/remote/dispatcher/state_purchase_lot_view/740566</v>
      </c>
      <c r="C1132" s="1" t="s">
        <v>3257</v>
      </c>
      <c r="D1132" s="1" t="s">
        <v>441</v>
      </c>
      <c r="E1132" s="4">
        <v>3850</v>
      </c>
      <c r="F1132" s="5">
        <v>85</v>
      </c>
      <c r="G1132" s="1" t="s">
        <v>4883</v>
      </c>
      <c r="H1132" s="1" t="s">
        <v>182</v>
      </c>
      <c r="I1132" s="1" t="s">
        <v>2707</v>
      </c>
      <c r="J1132" s="5">
        <v>527450</v>
      </c>
      <c r="K1132" s="5">
        <v>327250</v>
      </c>
      <c r="L1132" s="5">
        <v>1636.25</v>
      </c>
      <c r="M1132" s="1" t="s">
        <v>2308</v>
      </c>
      <c r="N1132" s="1" t="s">
        <v>3983</v>
      </c>
      <c r="O1132" s="1" t="s">
        <v>2521</v>
      </c>
      <c r="P1132" s="1" t="s">
        <v>2515</v>
      </c>
      <c r="Q1132" s="1" t="s">
        <v>2334</v>
      </c>
      <c r="R1132" s="1" t="s">
        <v>4050</v>
      </c>
      <c r="S1132" s="1" t="s">
        <v>4971</v>
      </c>
      <c r="T1132" s="6">
        <v>44593</v>
      </c>
      <c r="U1132" s="6">
        <v>44593</v>
      </c>
      <c r="V1132" s="7">
        <v>0.45309027777777777</v>
      </c>
      <c r="W1132" s="6">
        <v>44610</v>
      </c>
      <c r="X1132" s="7">
        <v>0.54166666666666663</v>
      </c>
      <c r="Y1132" s="8">
        <v>44613.607939814814</v>
      </c>
      <c r="Z1132" s="5">
        <v>510</v>
      </c>
      <c r="AA1132" s="1" t="s">
        <v>3403</v>
      </c>
      <c r="AB1132" s="1"/>
      <c r="AC1132" s="1"/>
      <c r="AD1132" s="1"/>
      <c r="AE1132" s="1" t="s">
        <v>3775</v>
      </c>
      <c r="AF1132" s="1" t="s">
        <v>9</v>
      </c>
      <c r="AG1132" s="4">
        <v>1</v>
      </c>
      <c r="AH1132" s="6">
        <v>44621</v>
      </c>
      <c r="AI1132" s="6">
        <v>44926</v>
      </c>
    </row>
    <row r="1133" spans="1:35" x14ac:dyDescent="0.3">
      <c r="A1133" s="1" t="s">
        <v>1669</v>
      </c>
      <c r="B1133" s="2" t="str">
        <f>HYPERLINK("https://my.zakupki.prom.ua/remote/dispatcher/state_purchase_view/34678177")</f>
        <v>https://my.zakupki.prom.ua/remote/dispatcher/state_purchase_view/34678177</v>
      </c>
      <c r="C1133" s="1" t="s">
        <v>4829</v>
      </c>
      <c r="D1133" s="1" t="s">
        <v>1182</v>
      </c>
      <c r="E1133" s="4">
        <v>6</v>
      </c>
      <c r="F1133" s="5">
        <v>23886.81</v>
      </c>
      <c r="G1133" s="1" t="s">
        <v>4940</v>
      </c>
      <c r="H1133" s="1" t="s">
        <v>60</v>
      </c>
      <c r="I1133" s="1" t="s">
        <v>2929</v>
      </c>
      <c r="J1133" s="5">
        <v>143320.87</v>
      </c>
      <c r="K1133" s="1" t="s">
        <v>3394</v>
      </c>
      <c r="L1133" s="5">
        <v>716.6</v>
      </c>
      <c r="M1133" s="1" t="s">
        <v>2308</v>
      </c>
      <c r="N1133" s="1" t="s">
        <v>3983</v>
      </c>
      <c r="O1133" s="1" t="s">
        <v>2521</v>
      </c>
      <c r="P1133" s="1" t="s">
        <v>3956</v>
      </c>
      <c r="Q1133" s="1" t="s">
        <v>2756</v>
      </c>
      <c r="R1133" s="1" t="s">
        <v>4266</v>
      </c>
      <c r="S1133" s="1" t="s">
        <v>4937</v>
      </c>
      <c r="T1133" s="6">
        <v>44593</v>
      </c>
      <c r="U1133" s="6">
        <v>44599</v>
      </c>
      <c r="V1133" s="7">
        <v>0.375</v>
      </c>
      <c r="W1133" s="6">
        <v>44602</v>
      </c>
      <c r="X1133" s="7">
        <v>0.375</v>
      </c>
      <c r="Y1133" s="1" t="s">
        <v>4860</v>
      </c>
      <c r="Z1133" s="5">
        <v>340</v>
      </c>
      <c r="AA1133" s="1" t="s">
        <v>3403</v>
      </c>
      <c r="AB1133" s="1"/>
      <c r="AC1133" s="1"/>
      <c r="AD1133" s="1"/>
      <c r="AE1133" s="1" t="s">
        <v>3729</v>
      </c>
      <c r="AF1133" s="1" t="s">
        <v>9</v>
      </c>
      <c r="AG1133" s="4">
        <v>12</v>
      </c>
      <c r="AH1133" s="1"/>
      <c r="AI1133" s="6">
        <v>44926</v>
      </c>
    </row>
    <row r="1134" spans="1:35" x14ac:dyDescent="0.3">
      <c r="A1134" s="1" t="s">
        <v>1314</v>
      </c>
      <c r="B1134" s="2" t="str">
        <f>HYPERLINK("https://my.zakupki.prom.ua/remote/dispatcher/state_purchase_view/34678179")</f>
        <v>https://my.zakupki.prom.ua/remote/dispatcher/state_purchase_view/34678179</v>
      </c>
      <c r="C1134" s="1" t="s">
        <v>3039</v>
      </c>
      <c r="D1134" s="1" t="s">
        <v>847</v>
      </c>
      <c r="E1134" s="4">
        <v>130</v>
      </c>
      <c r="F1134" s="5">
        <v>43200</v>
      </c>
      <c r="G1134" s="1" t="s">
        <v>4981</v>
      </c>
      <c r="H1134" s="1" t="s">
        <v>972</v>
      </c>
      <c r="I1134" s="1" t="s">
        <v>4759</v>
      </c>
      <c r="J1134" s="5">
        <v>5616000</v>
      </c>
      <c r="K1134" s="1" t="s">
        <v>3394</v>
      </c>
      <c r="L1134" s="5">
        <v>28080</v>
      </c>
      <c r="M1134" s="1" t="s">
        <v>2308</v>
      </c>
      <c r="N1134" s="1" t="s">
        <v>3983</v>
      </c>
      <c r="O1134" s="1" t="s">
        <v>1194</v>
      </c>
      <c r="P1134" s="1" t="s">
        <v>2516</v>
      </c>
      <c r="Q1134" s="1" t="s">
        <v>3035</v>
      </c>
      <c r="R1134" s="1" t="s">
        <v>4081</v>
      </c>
      <c r="S1134" s="1" t="s">
        <v>4971</v>
      </c>
      <c r="T1134" s="6">
        <v>44593</v>
      </c>
      <c r="U1134" s="6">
        <v>44593</v>
      </c>
      <c r="V1134" s="7">
        <v>0.45429398148148148</v>
      </c>
      <c r="W1134" s="6">
        <v>44624</v>
      </c>
      <c r="X1134" s="7">
        <v>0.41666666666666669</v>
      </c>
      <c r="Y1134" s="8">
        <v>44662.641747685186</v>
      </c>
      <c r="Z1134" s="5">
        <v>3400</v>
      </c>
      <c r="AA1134" s="1" t="s">
        <v>3403</v>
      </c>
      <c r="AB1134" s="1"/>
      <c r="AC1134" s="1"/>
      <c r="AD1134" s="1"/>
      <c r="AE1134" s="1" t="s">
        <v>3793</v>
      </c>
      <c r="AF1134" s="1" t="s">
        <v>9</v>
      </c>
      <c r="AG1134" s="4">
        <v>1638</v>
      </c>
      <c r="AH1134" s="1"/>
      <c r="AI1134" s="6">
        <v>44926</v>
      </c>
    </row>
    <row r="1135" spans="1:35" x14ac:dyDescent="0.3">
      <c r="A1135" s="1" t="s">
        <v>1391</v>
      </c>
      <c r="B1135" s="2" t="str">
        <f>HYPERLINK("https://my.zakupki.prom.ua/remote/dispatcher/state_purchase_view/34678178")</f>
        <v>https://my.zakupki.prom.ua/remote/dispatcher/state_purchase_view/34678178</v>
      </c>
      <c r="C1135" s="1" t="s">
        <v>3639</v>
      </c>
      <c r="D1135" s="1" t="s">
        <v>1144</v>
      </c>
      <c r="E1135" s="4">
        <v>1</v>
      </c>
      <c r="F1135" s="5">
        <v>500000</v>
      </c>
      <c r="G1135" s="1" t="s">
        <v>4940</v>
      </c>
      <c r="H1135" s="1" t="s">
        <v>959</v>
      </c>
      <c r="I1135" s="1" t="s">
        <v>3993</v>
      </c>
      <c r="J1135" s="5">
        <v>500000</v>
      </c>
      <c r="K1135" s="1" t="s">
        <v>3394</v>
      </c>
      <c r="L1135" s="5">
        <v>2500</v>
      </c>
      <c r="M1135" s="1" t="s">
        <v>2308</v>
      </c>
      <c r="N1135" s="1" t="s">
        <v>3983</v>
      </c>
      <c r="O1135" s="1" t="s">
        <v>2521</v>
      </c>
      <c r="P1135" s="1" t="s">
        <v>2515</v>
      </c>
      <c r="Q1135" s="1" t="s">
        <v>3992</v>
      </c>
      <c r="R1135" s="1" t="s">
        <v>4131</v>
      </c>
      <c r="S1135" s="1" t="s">
        <v>4971</v>
      </c>
      <c r="T1135" s="6">
        <v>44593</v>
      </c>
      <c r="U1135" s="6">
        <v>44593</v>
      </c>
      <c r="V1135" s="7">
        <v>0.44995130806712968</v>
      </c>
      <c r="W1135" s="6">
        <v>44609</v>
      </c>
      <c r="X1135" s="7">
        <v>0.5</v>
      </c>
      <c r="Y1135" s="8">
        <v>44610.560312499998</v>
      </c>
      <c r="Z1135" s="5">
        <v>510</v>
      </c>
      <c r="AA1135" s="1" t="s">
        <v>3403</v>
      </c>
      <c r="AB1135" s="1"/>
      <c r="AC1135" s="1"/>
      <c r="AD1135" s="1"/>
      <c r="AE1135" s="1" t="s">
        <v>3730</v>
      </c>
      <c r="AF1135" s="1" t="s">
        <v>9</v>
      </c>
      <c r="AG1135" s="1" t="s">
        <v>9</v>
      </c>
      <c r="AH1135" s="1"/>
      <c r="AI1135" s="6">
        <v>44666</v>
      </c>
    </row>
    <row r="1136" spans="1:35" x14ac:dyDescent="0.3">
      <c r="A1136" s="1" t="s">
        <v>1416</v>
      </c>
      <c r="B1136" s="2" t="str">
        <f>HYPERLINK("https://my.zakupki.prom.ua/remote/dispatcher/state_purchase_view/34678176")</f>
        <v>https://my.zakupki.prom.ua/remote/dispatcher/state_purchase_view/34678176</v>
      </c>
      <c r="C1136" s="1" t="s">
        <v>2630</v>
      </c>
      <c r="D1136" s="1" t="s">
        <v>1264</v>
      </c>
      <c r="E1136" s="1" t="s">
        <v>4903</v>
      </c>
      <c r="F1136" s="1" t="s">
        <v>4903</v>
      </c>
      <c r="G1136" s="1" t="s">
        <v>4903</v>
      </c>
      <c r="H1136" s="1" t="s">
        <v>117</v>
      </c>
      <c r="I1136" s="1" t="s">
        <v>3107</v>
      </c>
      <c r="J1136" s="5">
        <v>19000</v>
      </c>
      <c r="K1136" s="1" t="s">
        <v>3394</v>
      </c>
      <c r="L1136" s="5">
        <v>95</v>
      </c>
      <c r="M1136" s="1" t="s">
        <v>2308</v>
      </c>
      <c r="N1136" s="1" t="s">
        <v>3983</v>
      </c>
      <c r="O1136" s="1" t="s">
        <v>2521</v>
      </c>
      <c r="P1136" s="1" t="s">
        <v>3956</v>
      </c>
      <c r="Q1136" s="1" t="s">
        <v>4831</v>
      </c>
      <c r="R1136" s="1" t="s">
        <v>4081</v>
      </c>
      <c r="S1136" s="1" t="s">
        <v>4937</v>
      </c>
      <c r="T1136" s="6">
        <v>44593</v>
      </c>
      <c r="U1136" s="6">
        <v>44599</v>
      </c>
      <c r="V1136" s="7">
        <v>0</v>
      </c>
      <c r="W1136" s="6">
        <v>44602</v>
      </c>
      <c r="X1136" s="7">
        <v>0</v>
      </c>
      <c r="Y1136" s="1" t="s">
        <v>4860</v>
      </c>
      <c r="Z1136" s="5">
        <v>17</v>
      </c>
      <c r="AA1136" s="1" t="s">
        <v>3403</v>
      </c>
      <c r="AB1136" s="1"/>
      <c r="AC1136" s="1"/>
      <c r="AD1136" s="1"/>
      <c r="AE1136" s="1" t="s">
        <v>3744</v>
      </c>
      <c r="AF1136" s="1" t="s">
        <v>9</v>
      </c>
      <c r="AG1136" s="4">
        <v>2</v>
      </c>
      <c r="AH1136" s="1"/>
      <c r="AI1136" s="6">
        <v>44926</v>
      </c>
    </row>
    <row r="1137" spans="1:35" x14ac:dyDescent="0.3">
      <c r="A1137" s="1" t="s">
        <v>1404</v>
      </c>
      <c r="B1137" s="2" t="str">
        <f>HYPERLINK("https://my.zakupki.prom.ua/remote/dispatcher/state_purchase_lot_view/740564")</f>
        <v>https://my.zakupki.prom.ua/remote/dispatcher/state_purchase_lot_view/740564</v>
      </c>
      <c r="C1137" s="1" t="s">
        <v>2594</v>
      </c>
      <c r="D1137" s="1" t="s">
        <v>480</v>
      </c>
      <c r="E1137" s="4">
        <v>3300</v>
      </c>
      <c r="F1137" s="5">
        <v>44.35</v>
      </c>
      <c r="G1137" s="1" t="s">
        <v>4902</v>
      </c>
      <c r="H1137" s="1" t="s">
        <v>538</v>
      </c>
      <c r="I1137" s="1" t="s">
        <v>2414</v>
      </c>
      <c r="J1137" s="5">
        <v>146350</v>
      </c>
      <c r="K1137" s="5">
        <v>146350</v>
      </c>
      <c r="L1137" s="5">
        <v>731.75</v>
      </c>
      <c r="M1137" s="1" t="s">
        <v>2308</v>
      </c>
      <c r="N1137" s="1" t="s">
        <v>3983</v>
      </c>
      <c r="O1137" s="1" t="s">
        <v>2521</v>
      </c>
      <c r="P1137" s="1" t="s">
        <v>2762</v>
      </c>
      <c r="Q1137" s="1" t="s">
        <v>2796</v>
      </c>
      <c r="R1137" s="1" t="s">
        <v>4475</v>
      </c>
      <c r="S1137" s="1" t="s">
        <v>4937</v>
      </c>
      <c r="T1137" s="6">
        <v>44593</v>
      </c>
      <c r="U1137" s="6">
        <v>44600</v>
      </c>
      <c r="V1137" s="7">
        <v>0</v>
      </c>
      <c r="W1137" s="6">
        <v>44602</v>
      </c>
      <c r="X1137" s="7">
        <v>0</v>
      </c>
      <c r="Y1137" s="1" t="s">
        <v>4860</v>
      </c>
      <c r="Z1137" s="5">
        <v>340</v>
      </c>
      <c r="AA1137" s="1" t="s">
        <v>3403</v>
      </c>
      <c r="AB1137" s="1"/>
      <c r="AC1137" s="1"/>
      <c r="AD1137" s="1"/>
      <c r="AE1137" s="1" t="s">
        <v>3788</v>
      </c>
      <c r="AF1137" s="1" t="s">
        <v>9</v>
      </c>
      <c r="AG1137" s="1" t="s">
        <v>9</v>
      </c>
      <c r="AH1137" s="6">
        <v>44603</v>
      </c>
      <c r="AI1137" s="6">
        <v>44926</v>
      </c>
    </row>
    <row r="1138" spans="1:35" x14ac:dyDescent="0.3">
      <c r="A1138" s="1" t="s">
        <v>1662</v>
      </c>
      <c r="B1138" s="2" t="str">
        <f>HYPERLINK("https://my.zakupki.prom.ua/remote/dispatcher/state_purchase_view/34678137")</f>
        <v>https://my.zakupki.prom.ua/remote/dispatcher/state_purchase_view/34678137</v>
      </c>
      <c r="C1138" s="1" t="s">
        <v>3039</v>
      </c>
      <c r="D1138" s="1" t="s">
        <v>847</v>
      </c>
      <c r="E1138" s="4">
        <v>130</v>
      </c>
      <c r="F1138" s="5">
        <v>43200</v>
      </c>
      <c r="G1138" s="1" t="s">
        <v>4981</v>
      </c>
      <c r="H1138" s="1" t="s">
        <v>972</v>
      </c>
      <c r="I1138" s="1" t="s">
        <v>4759</v>
      </c>
      <c r="J1138" s="5">
        <v>5616000</v>
      </c>
      <c r="K1138" s="1" t="s">
        <v>3394</v>
      </c>
      <c r="L1138" s="5">
        <v>28080</v>
      </c>
      <c r="M1138" s="1" t="s">
        <v>2308</v>
      </c>
      <c r="N1138" s="1" t="s">
        <v>3983</v>
      </c>
      <c r="O1138" s="1" t="s">
        <v>1194</v>
      </c>
      <c r="P1138" s="1" t="s">
        <v>2516</v>
      </c>
      <c r="Q1138" s="1" t="s">
        <v>3035</v>
      </c>
      <c r="R1138" s="1" t="s">
        <v>4081</v>
      </c>
      <c r="S1138" s="1" t="s">
        <v>4971</v>
      </c>
      <c r="T1138" s="6">
        <v>44593</v>
      </c>
      <c r="U1138" s="6">
        <v>44593</v>
      </c>
      <c r="V1138" s="7">
        <v>0.45542824074074073</v>
      </c>
      <c r="W1138" s="6">
        <v>44624</v>
      </c>
      <c r="X1138" s="7">
        <v>0.41666666666666669</v>
      </c>
      <c r="Y1138" s="8">
        <v>44662.65934027778</v>
      </c>
      <c r="Z1138" s="5">
        <v>3400</v>
      </c>
      <c r="AA1138" s="1" t="s">
        <v>3403</v>
      </c>
      <c r="AB1138" s="1"/>
      <c r="AC1138" s="1"/>
      <c r="AD1138" s="1"/>
      <c r="AE1138" s="1" t="s">
        <v>3793</v>
      </c>
      <c r="AF1138" s="1" t="s">
        <v>9</v>
      </c>
      <c r="AG1138" s="4">
        <v>1638</v>
      </c>
      <c r="AH1138" s="1"/>
      <c r="AI1138" s="6">
        <v>44926</v>
      </c>
    </row>
    <row r="1139" spans="1:35" x14ac:dyDescent="0.3">
      <c r="A1139" s="1" t="s">
        <v>1629</v>
      </c>
      <c r="B1139" s="2" t="str">
        <f>HYPERLINK("https://my.zakupki.prom.ua/remote/dispatcher/state_purchase_view/34678132")</f>
        <v>https://my.zakupki.prom.ua/remote/dispatcher/state_purchase_view/34678132</v>
      </c>
      <c r="C1139" s="1" t="s">
        <v>3643</v>
      </c>
      <c r="D1139" s="1" t="s">
        <v>1132</v>
      </c>
      <c r="E1139" s="4">
        <v>223</v>
      </c>
      <c r="F1139" s="5">
        <v>892.6</v>
      </c>
      <c r="G1139" s="1" t="s">
        <v>4912</v>
      </c>
      <c r="H1139" s="1" t="s">
        <v>853</v>
      </c>
      <c r="I1139" s="1" t="s">
        <v>2973</v>
      </c>
      <c r="J1139" s="5">
        <v>199050</v>
      </c>
      <c r="K1139" s="1" t="s">
        <v>3394</v>
      </c>
      <c r="L1139" s="5">
        <v>1990.5</v>
      </c>
      <c r="M1139" s="1" t="s">
        <v>2308</v>
      </c>
      <c r="N1139" s="1" t="s">
        <v>3983</v>
      </c>
      <c r="O1139" s="1" t="s">
        <v>2521</v>
      </c>
      <c r="P1139" s="1" t="s">
        <v>3956</v>
      </c>
      <c r="Q1139" s="1" t="s">
        <v>3426</v>
      </c>
      <c r="R1139" s="1" t="s">
        <v>4579</v>
      </c>
      <c r="S1139" s="1" t="s">
        <v>4937</v>
      </c>
      <c r="T1139" s="6">
        <v>44593</v>
      </c>
      <c r="U1139" s="6">
        <v>44597</v>
      </c>
      <c r="V1139" s="7">
        <v>0.45833333333333331</v>
      </c>
      <c r="W1139" s="6">
        <v>44604</v>
      </c>
      <c r="X1139" s="7">
        <v>0.45833333333333331</v>
      </c>
      <c r="Y1139" s="1" t="s">
        <v>4860</v>
      </c>
      <c r="Z1139" s="5">
        <v>340</v>
      </c>
      <c r="AA1139" s="1" t="s">
        <v>3403</v>
      </c>
      <c r="AB1139" s="1"/>
      <c r="AC1139" s="1"/>
      <c r="AD1139" s="1"/>
      <c r="AE1139" s="1" t="s">
        <v>3739</v>
      </c>
      <c r="AF1139" s="1" t="s">
        <v>9</v>
      </c>
      <c r="AG1139" s="4">
        <v>5</v>
      </c>
      <c r="AH1139" s="1"/>
      <c r="AI1139" s="6">
        <v>44926</v>
      </c>
    </row>
    <row r="1140" spans="1:35" x14ac:dyDescent="0.3">
      <c r="A1140" s="1" t="s">
        <v>1661</v>
      </c>
      <c r="B1140" s="2" t="str">
        <f>HYPERLINK("https://my.zakupki.prom.ua/remote/dispatcher/state_purchase_view/34678133")</f>
        <v>https://my.zakupki.prom.ua/remote/dispatcher/state_purchase_view/34678133</v>
      </c>
      <c r="C1140" s="1" t="s">
        <v>2793</v>
      </c>
      <c r="D1140" s="1" t="s">
        <v>764</v>
      </c>
      <c r="E1140" s="1" t="s">
        <v>4903</v>
      </c>
      <c r="F1140" s="1" t="s">
        <v>4903</v>
      </c>
      <c r="G1140" s="1" t="s">
        <v>4903</v>
      </c>
      <c r="H1140" s="1" t="s">
        <v>78</v>
      </c>
      <c r="I1140" s="1" t="s">
        <v>2871</v>
      </c>
      <c r="J1140" s="5">
        <v>180000</v>
      </c>
      <c r="K1140" s="1" t="s">
        <v>3394</v>
      </c>
      <c r="L1140" s="5">
        <v>900</v>
      </c>
      <c r="M1140" s="1" t="s">
        <v>2308</v>
      </c>
      <c r="N1140" s="1" t="s">
        <v>3983</v>
      </c>
      <c r="O1140" s="1" t="s">
        <v>2521</v>
      </c>
      <c r="P1140" s="1" t="s">
        <v>3956</v>
      </c>
      <c r="Q1140" s="1" t="s">
        <v>2808</v>
      </c>
      <c r="R1140" s="1" t="s">
        <v>4115</v>
      </c>
      <c r="S1140" s="1" t="s">
        <v>4937</v>
      </c>
      <c r="T1140" s="6">
        <v>44593</v>
      </c>
      <c r="U1140" s="6">
        <v>44599</v>
      </c>
      <c r="V1140" s="7">
        <v>0.75</v>
      </c>
      <c r="W1140" s="6">
        <v>44602</v>
      </c>
      <c r="X1140" s="7">
        <v>0.75</v>
      </c>
      <c r="Y1140" s="1" t="s">
        <v>4860</v>
      </c>
      <c r="Z1140" s="5">
        <v>340</v>
      </c>
      <c r="AA1140" s="1" t="s">
        <v>3403</v>
      </c>
      <c r="AB1140" s="1"/>
      <c r="AC1140" s="1"/>
      <c r="AD1140" s="1"/>
      <c r="AE1140" s="1" t="s">
        <v>3765</v>
      </c>
      <c r="AF1140" s="1" t="s">
        <v>9</v>
      </c>
      <c r="AG1140" s="4">
        <v>2</v>
      </c>
      <c r="AH1140" s="1"/>
      <c r="AI1140" s="6">
        <v>44926</v>
      </c>
    </row>
    <row r="1141" spans="1:35" x14ac:dyDescent="0.3">
      <c r="A1141" s="1" t="s">
        <v>1667</v>
      </c>
      <c r="B1141" s="2" t="str">
        <f>HYPERLINK("https://my.zakupki.prom.ua/remote/dispatcher/state_purchase_view/34678060")</f>
        <v>https://my.zakupki.prom.ua/remote/dispatcher/state_purchase_view/34678060</v>
      </c>
      <c r="C1141" s="1" t="s">
        <v>3576</v>
      </c>
      <c r="D1141" s="1" t="s">
        <v>1205</v>
      </c>
      <c r="E1141" s="4">
        <v>1</v>
      </c>
      <c r="F1141" s="5">
        <v>546000</v>
      </c>
      <c r="G1141" s="1" t="s">
        <v>4940</v>
      </c>
      <c r="H1141" s="1" t="s">
        <v>599</v>
      </c>
      <c r="I1141" s="1" t="s">
        <v>3646</v>
      </c>
      <c r="J1141" s="5">
        <v>546000</v>
      </c>
      <c r="K1141" s="1" t="s">
        <v>3394</v>
      </c>
      <c r="L1141" s="5">
        <v>2730</v>
      </c>
      <c r="M1141" s="1" t="s">
        <v>2308</v>
      </c>
      <c r="N1141" s="1" t="s">
        <v>3983</v>
      </c>
      <c r="O1141" s="1" t="s">
        <v>2521</v>
      </c>
      <c r="P1141" s="1" t="s">
        <v>3956</v>
      </c>
      <c r="Q1141" s="1" t="s">
        <v>3238</v>
      </c>
      <c r="R1141" s="1" t="s">
        <v>4038</v>
      </c>
      <c r="S1141" s="1" t="s">
        <v>4937</v>
      </c>
      <c r="T1141" s="6">
        <v>44593</v>
      </c>
      <c r="U1141" s="6">
        <v>44599</v>
      </c>
      <c r="V1141" s="7">
        <v>0.70833333333333337</v>
      </c>
      <c r="W1141" s="6">
        <v>44602</v>
      </c>
      <c r="X1141" s="7">
        <v>0.66666666666666663</v>
      </c>
      <c r="Y1141" s="1" t="s">
        <v>4860</v>
      </c>
      <c r="Z1141" s="5">
        <v>510</v>
      </c>
      <c r="AA1141" s="1" t="s">
        <v>3403</v>
      </c>
      <c r="AB1141" s="1"/>
      <c r="AC1141" s="1"/>
      <c r="AD1141" s="1"/>
      <c r="AE1141" s="1" t="s">
        <v>3753</v>
      </c>
      <c r="AF1141" s="1" t="s">
        <v>9</v>
      </c>
      <c r="AG1141" s="4">
        <v>17</v>
      </c>
      <c r="AH1141" s="6">
        <v>44607</v>
      </c>
      <c r="AI1141" s="6">
        <v>44957</v>
      </c>
    </row>
    <row r="1142" spans="1:35" x14ac:dyDescent="0.3">
      <c r="A1142" s="1" t="s">
        <v>1396</v>
      </c>
      <c r="B1142" s="2" t="str">
        <f>HYPERLINK("https://my.zakupki.prom.ua/remote/dispatcher/state_purchase_view/34678062")</f>
        <v>https://my.zakupki.prom.ua/remote/dispatcher/state_purchase_view/34678062</v>
      </c>
      <c r="C1142" s="1" t="s">
        <v>3061</v>
      </c>
      <c r="D1142" s="1" t="s">
        <v>1168</v>
      </c>
      <c r="E1142" s="4">
        <v>1</v>
      </c>
      <c r="F1142" s="5">
        <v>800</v>
      </c>
      <c r="G1142" s="1" t="s">
        <v>4940</v>
      </c>
      <c r="H1142" s="1" t="s">
        <v>232</v>
      </c>
      <c r="I1142" s="1" t="s">
        <v>3170</v>
      </c>
      <c r="J1142" s="5">
        <v>800</v>
      </c>
      <c r="K1142" s="1" t="s">
        <v>3394</v>
      </c>
      <c r="L1142" s="5">
        <v>8</v>
      </c>
      <c r="M1142" s="1" t="s">
        <v>2308</v>
      </c>
      <c r="N1142" s="1" t="s">
        <v>3403</v>
      </c>
      <c r="O1142" s="1" t="s">
        <v>2521</v>
      </c>
      <c r="P1142" s="1" t="s">
        <v>3956</v>
      </c>
      <c r="Q1142" s="1" t="s">
        <v>2820</v>
      </c>
      <c r="R1142" s="1" t="s">
        <v>4081</v>
      </c>
      <c r="S1142" s="1" t="s">
        <v>4937</v>
      </c>
      <c r="T1142" s="6">
        <v>44593</v>
      </c>
      <c r="U1142" s="6">
        <v>44599</v>
      </c>
      <c r="V1142" s="7">
        <v>0.5</v>
      </c>
      <c r="W1142" s="6">
        <v>44602</v>
      </c>
      <c r="X1142" s="7">
        <v>0.5</v>
      </c>
      <c r="Y1142" s="1" t="s">
        <v>4860</v>
      </c>
      <c r="Z1142" s="5">
        <v>17</v>
      </c>
      <c r="AA1142" s="1" t="s">
        <v>3403</v>
      </c>
      <c r="AB1142" s="1"/>
      <c r="AC1142" s="1"/>
      <c r="AD1142" s="1"/>
      <c r="AE1142" s="1" t="s">
        <v>3727</v>
      </c>
      <c r="AF1142" s="1" t="s">
        <v>9</v>
      </c>
      <c r="AG1142" s="4">
        <v>61</v>
      </c>
      <c r="AH1142" s="1"/>
      <c r="AI1142" s="6">
        <v>45046</v>
      </c>
    </row>
    <row r="1143" spans="1:35" x14ac:dyDescent="0.3">
      <c r="A1143" s="1" t="s">
        <v>2827</v>
      </c>
    </row>
  </sheetData>
  <autoFilter ref="A6:AI1142"/>
  <hyperlinks>
    <hyperlink ref="A2" r:id="rId1" display="mailto:report.zakupki@prom.ua"/>
    <hyperlink ref="B7" r:id="rId2" display="https://my.zakupki.prom.ua/remote/dispatcher/state_purchase_view/34698189"/>
    <hyperlink ref="B8" r:id="rId3" display="https://my.zakupki.prom.ua/remote/dispatcher/state_purchase_view/34696664"/>
    <hyperlink ref="B9" r:id="rId4" display="https://my.zakupki.prom.ua/remote/dispatcher/state_purchase_view/34698138"/>
    <hyperlink ref="B10" r:id="rId5" display="https://my.zakupki.prom.ua/remote/dispatcher/state_purchase_view/34697792"/>
    <hyperlink ref="B11" r:id="rId6" display="https://my.zakupki.prom.ua/remote/dispatcher/state_purchase_view/34697753"/>
    <hyperlink ref="B12" r:id="rId7" display="https://my.zakupki.prom.ua/remote/dispatcher/state_purchase_view/34697747"/>
    <hyperlink ref="B13" r:id="rId8" display="https://my.zakupki.prom.ua/remote/dispatcher/state_purchase_view/34697750"/>
    <hyperlink ref="B14" r:id="rId9" display="https://my.zakupki.prom.ua/remote/dispatcher/state_purchase_view/34697738"/>
    <hyperlink ref="B15" r:id="rId10" display="https://my.zakupki.prom.ua/remote/dispatcher/state_purchase_view/34697736"/>
    <hyperlink ref="B16" r:id="rId11" display="https://my.zakupki.prom.ua/remote/dispatcher/state_purchase_view/34697724"/>
    <hyperlink ref="B17" r:id="rId12" display="https://my.zakupki.prom.ua/remote/dispatcher/state_purchase_view/34697728"/>
    <hyperlink ref="B18" r:id="rId13" display="https://my.zakupki.prom.ua/remote/dispatcher/state_purchase_view/34697714"/>
    <hyperlink ref="B19" r:id="rId14" display="https://my.zakupki.prom.ua/remote/dispatcher/state_purchase_view/34697713"/>
    <hyperlink ref="B20" r:id="rId15" display="https://my.zakupki.prom.ua/remote/dispatcher/state_purchase_view/34697708"/>
    <hyperlink ref="B21" r:id="rId16" display="https://my.zakupki.prom.ua/remote/dispatcher/state_purchase_view/34697706"/>
    <hyperlink ref="B22" r:id="rId17" display="https://my.zakupki.prom.ua/remote/dispatcher/state_purchase_view/34697688"/>
    <hyperlink ref="B23" r:id="rId18" display="https://my.zakupki.prom.ua/remote/dispatcher/state_purchase_view/34697678"/>
    <hyperlink ref="B24" r:id="rId19" display="https://my.zakupki.prom.ua/remote/dispatcher/state_purchase_view/34697675"/>
    <hyperlink ref="B25" r:id="rId20" display="https://my.zakupki.prom.ua/remote/dispatcher/state_purchase_lot_view/740824"/>
    <hyperlink ref="B26" r:id="rId21" display="https://my.zakupki.prom.ua/remote/dispatcher/state_purchase_view/34697661"/>
    <hyperlink ref="B27" r:id="rId22" display="https://my.zakupki.prom.ua/remote/dispatcher/state_purchase_view/34697657"/>
    <hyperlink ref="B28" r:id="rId23" display="https://my.zakupki.prom.ua/remote/dispatcher/state_purchase_view/34697656"/>
    <hyperlink ref="B29" r:id="rId24" display="https://my.zakupki.prom.ua/remote/dispatcher/state_purchase_view/34697646"/>
    <hyperlink ref="B30" r:id="rId25" display="https://my.zakupki.prom.ua/remote/dispatcher/state_purchase_view/34697636"/>
    <hyperlink ref="B31" r:id="rId26" display="https://my.zakupki.prom.ua/remote/dispatcher/state_purchase_view/34697570"/>
    <hyperlink ref="B32" r:id="rId27" display="https://my.zakupki.prom.ua/remote/dispatcher/state_purchase_view/34697565"/>
    <hyperlink ref="B33" r:id="rId28" display="https://my.zakupki.prom.ua/remote/dispatcher/state_purchase_view/34697546"/>
    <hyperlink ref="B34" r:id="rId29" display="https://my.zakupki.prom.ua/remote/dispatcher/state_purchase_view/34697532"/>
    <hyperlink ref="B35" r:id="rId30" display="https://my.zakupki.prom.ua/remote/dispatcher/state_purchase_view/34697530"/>
    <hyperlink ref="B36" r:id="rId31" display="https://my.zakupki.prom.ua/remote/dispatcher/state_purchase_view/34697525"/>
    <hyperlink ref="B37" r:id="rId32" display="https://my.zakupki.prom.ua/remote/dispatcher/state_purchase_view/34693843"/>
    <hyperlink ref="B38" r:id="rId33" display="https://my.zakupki.prom.ua/remote/dispatcher/state_purchase_view/34697487"/>
    <hyperlink ref="B39" r:id="rId34" display="https://my.zakupki.prom.ua/remote/dispatcher/state_purchase_view/34697457"/>
    <hyperlink ref="B40" r:id="rId35" display="https://my.zakupki.prom.ua/remote/dispatcher/state_purchase_view/34697393"/>
    <hyperlink ref="B41" r:id="rId36" display="https://my.zakupki.prom.ua/remote/dispatcher/state_purchase_view/34697365"/>
    <hyperlink ref="B42" r:id="rId37" display="https://my.zakupki.prom.ua/remote/dispatcher/state_purchase_view/34697361"/>
    <hyperlink ref="B43" r:id="rId38" display="https://my.zakupki.prom.ua/remote/dispatcher/state_purchase_view/34697358"/>
    <hyperlink ref="B44" r:id="rId39" display="https://my.zakupki.prom.ua/remote/dispatcher/state_purchase_lot_view/740808"/>
    <hyperlink ref="B45" r:id="rId40" display="https://my.zakupki.prom.ua/remote/dispatcher/state_purchase_lot_view/740809"/>
    <hyperlink ref="B46" r:id="rId41" display="https://my.zakupki.prom.ua/remote/dispatcher/state_purchase_lot_view/740810"/>
    <hyperlink ref="B47" r:id="rId42" display="https://my.zakupki.prom.ua/remote/dispatcher/state_purchase_lot_view/740811"/>
    <hyperlink ref="B48" r:id="rId43" display="https://my.zakupki.prom.ua/remote/dispatcher/state_purchase_lot_view/740812"/>
    <hyperlink ref="B49" r:id="rId44" display="https://my.zakupki.prom.ua/remote/dispatcher/state_purchase_lot_view/740813"/>
    <hyperlink ref="B50" r:id="rId45" display="https://my.zakupki.prom.ua/remote/dispatcher/state_purchase_lot_view/740814"/>
    <hyperlink ref="B51" r:id="rId46" display="https://my.zakupki.prom.ua/remote/dispatcher/state_purchase_lot_view/740815"/>
    <hyperlink ref="B52" r:id="rId47" display="https://my.zakupki.prom.ua/remote/dispatcher/state_purchase_lot_view/740816"/>
    <hyperlink ref="B53" r:id="rId48" display="https://my.zakupki.prom.ua/remote/dispatcher/state_purchase_lot_view/740817"/>
    <hyperlink ref="B54" r:id="rId49" display="https://my.zakupki.prom.ua/remote/dispatcher/state_purchase_lot_view/740818"/>
    <hyperlink ref="B55" r:id="rId50" display="https://my.zakupki.prom.ua/remote/dispatcher/state_purchase_lot_view/740819"/>
    <hyperlink ref="B56" r:id="rId51" display="https://my.zakupki.prom.ua/remote/dispatcher/state_purchase_lot_view/740820"/>
    <hyperlink ref="B57" r:id="rId52" display="https://my.zakupki.prom.ua/remote/dispatcher/state_purchase_lot_view/740821"/>
    <hyperlink ref="B58" r:id="rId53" display="https://my.zakupki.prom.ua/remote/dispatcher/state_purchase_view/34697289"/>
    <hyperlink ref="B59" r:id="rId54" display="https://my.zakupki.prom.ua/remote/dispatcher/state_purchase_view/34697283"/>
    <hyperlink ref="B60" r:id="rId55" display="https://my.zakupki.prom.ua/remote/dispatcher/state_purchase_view/34697280"/>
    <hyperlink ref="B61" r:id="rId56" display="https://my.zakupki.prom.ua/remote/dispatcher/state_purchase_view/34697275"/>
    <hyperlink ref="B62" r:id="rId57" display="https://my.zakupki.prom.ua/remote/dispatcher/state_purchase_view/34697260"/>
    <hyperlink ref="B63" r:id="rId58" display="https://my.zakupki.prom.ua/remote/dispatcher/state_purchase_lot_view/740806"/>
    <hyperlink ref="B64" r:id="rId59" display="https://my.zakupki.prom.ua/remote/dispatcher/state_purchase_lot_view/740807"/>
    <hyperlink ref="B65" r:id="rId60" display="https://my.zakupki.prom.ua/remote/dispatcher/state_purchase_view/34697236"/>
    <hyperlink ref="B66" r:id="rId61" display="https://my.zakupki.prom.ua/remote/dispatcher/state_purchase_view/34697217"/>
    <hyperlink ref="B67" r:id="rId62" display="https://my.zakupki.prom.ua/remote/dispatcher/state_purchase_lot_view/740776"/>
    <hyperlink ref="B68" r:id="rId63" display="https://my.zakupki.prom.ua/remote/dispatcher/state_purchase_lot_view/740803"/>
    <hyperlink ref="B69" r:id="rId64" display="https://my.zakupki.prom.ua/remote/dispatcher/state_purchase_lot_view/740804"/>
    <hyperlink ref="B70" r:id="rId65" display="https://my.zakupki.prom.ua/remote/dispatcher/state_purchase_lot_view/740805"/>
    <hyperlink ref="B71" r:id="rId66" display="https://my.zakupki.prom.ua/remote/dispatcher/state_purchase_view/34697212"/>
    <hyperlink ref="B72" r:id="rId67" display="https://my.zakupki.prom.ua/remote/dispatcher/state_purchase_view/34697215"/>
    <hyperlink ref="B73" r:id="rId68" display="https://my.zakupki.prom.ua/remote/dispatcher/state_purchase_view/34697200"/>
    <hyperlink ref="B74" r:id="rId69" display="https://my.zakupki.prom.ua/remote/dispatcher/state_purchase_view/34697198"/>
    <hyperlink ref="B75" r:id="rId70" display="https://my.zakupki.prom.ua/remote/dispatcher/state_purchase_view/34697182"/>
    <hyperlink ref="B76" r:id="rId71" display="https://my.zakupki.prom.ua/remote/dispatcher/state_purchase_lot_view/740802"/>
    <hyperlink ref="B77" r:id="rId72" display="https://my.zakupki.prom.ua/remote/dispatcher/state_purchase_view/34697160"/>
    <hyperlink ref="B78" r:id="rId73" display="https://my.zakupki.prom.ua/remote/dispatcher/state_purchase_lot_view/740792"/>
    <hyperlink ref="B79" r:id="rId74" display="https://my.zakupki.prom.ua/remote/dispatcher/state_purchase_lot_view/740793"/>
    <hyperlink ref="B80" r:id="rId75" display="https://my.zakupki.prom.ua/remote/dispatcher/state_purchase_lot_view/740794"/>
    <hyperlink ref="B81" r:id="rId76" display="https://my.zakupki.prom.ua/remote/dispatcher/state_purchase_lot_view/740795"/>
    <hyperlink ref="B82" r:id="rId77" display="https://my.zakupki.prom.ua/remote/dispatcher/state_purchase_lot_view/740796"/>
    <hyperlink ref="B83" r:id="rId78" display="https://my.zakupki.prom.ua/remote/dispatcher/state_purchase_lot_view/740797"/>
    <hyperlink ref="B84" r:id="rId79" display="https://my.zakupki.prom.ua/remote/dispatcher/state_purchase_lot_view/740798"/>
    <hyperlink ref="B85" r:id="rId80" display="https://my.zakupki.prom.ua/remote/dispatcher/state_purchase_lot_view/740799"/>
    <hyperlink ref="B86" r:id="rId81" display="https://my.zakupki.prom.ua/remote/dispatcher/state_purchase_lot_view/740800"/>
    <hyperlink ref="B87" r:id="rId82" display="https://my.zakupki.prom.ua/remote/dispatcher/state_purchase_lot_view/740801"/>
    <hyperlink ref="B88" r:id="rId83" display="https://my.zakupki.prom.ua/remote/dispatcher/state_purchase_view/34697138"/>
    <hyperlink ref="B89" r:id="rId84" display="https://my.zakupki.prom.ua/remote/dispatcher/state_purchase_view/34697131"/>
    <hyperlink ref="B90" r:id="rId85" display="https://my.zakupki.prom.ua/remote/dispatcher/state_purchase_view/34697123"/>
    <hyperlink ref="B91" r:id="rId86" display="https://my.zakupki.prom.ua/remote/dispatcher/state_purchase_view/34697113"/>
    <hyperlink ref="B92" r:id="rId87" display="https://my.zakupki.prom.ua/remote/dispatcher/state_purchase_view/34697109"/>
    <hyperlink ref="B93" r:id="rId88" display="https://my.zakupki.prom.ua/remote/dispatcher/state_purchase_view/34696689"/>
    <hyperlink ref="B94" r:id="rId89" display="https://my.zakupki.prom.ua/remote/dispatcher/state_purchase_view/34696668"/>
    <hyperlink ref="B95" r:id="rId90" display="https://my.zakupki.prom.ua/remote/dispatcher/state_purchase_view/34695701"/>
    <hyperlink ref="B96" r:id="rId91" display="https://my.zakupki.prom.ua/remote/dispatcher/state_purchase_view/34696616"/>
    <hyperlink ref="B97" r:id="rId92" display="https://my.zakupki.prom.ua/remote/dispatcher/state_purchase_view/34696613"/>
    <hyperlink ref="B98" r:id="rId93" display="https://my.zakupki.prom.ua/remote/dispatcher/state_purchase_view/34696610"/>
    <hyperlink ref="B99" r:id="rId94" display="https://my.zakupki.prom.ua/remote/dispatcher/state_purchase_view/34696607"/>
    <hyperlink ref="B100" r:id="rId95" display="https://my.zakupki.prom.ua/remote/dispatcher/state_purchase_view/34696557"/>
    <hyperlink ref="B101" r:id="rId96" display="https://my.zakupki.prom.ua/remote/dispatcher/state_purchase_view/34696547"/>
    <hyperlink ref="B102" r:id="rId97" display="https://my.zakupki.prom.ua/remote/dispatcher/state_purchase_view/34696540"/>
    <hyperlink ref="B103" r:id="rId98" display="https://my.zakupki.prom.ua/remote/dispatcher/state_purchase_view/34696519"/>
    <hyperlink ref="B104" r:id="rId99" display="https://my.zakupki.prom.ua/remote/dispatcher/state_purchase_view/34696516"/>
    <hyperlink ref="B105" r:id="rId100" display="https://my.zakupki.prom.ua/remote/dispatcher/state_purchase_view/34696510"/>
    <hyperlink ref="B106" r:id="rId101" display="https://my.zakupki.prom.ua/remote/dispatcher/state_purchase_view/34696506"/>
    <hyperlink ref="B107" r:id="rId102" display="https://my.zakupki.prom.ua/remote/dispatcher/state_purchase_view/34696502"/>
    <hyperlink ref="B108" r:id="rId103" display="https://my.zakupki.prom.ua/remote/dispatcher/state_purchase_view/34696495"/>
    <hyperlink ref="B109" r:id="rId104" display="https://my.zakupki.prom.ua/remote/dispatcher/state_purchase_view/34696483"/>
    <hyperlink ref="B110" r:id="rId105" display="https://my.zakupki.prom.ua/remote/dispatcher/state_purchase_view/34696471"/>
    <hyperlink ref="B111" r:id="rId106" display="https://my.zakupki.prom.ua/remote/dispatcher/state_purchase_view/34696469"/>
    <hyperlink ref="B112" r:id="rId107" display="https://my.zakupki.prom.ua/remote/dispatcher/state_purchase_view/34696464"/>
    <hyperlink ref="B113" r:id="rId108" display="https://my.zakupki.prom.ua/remote/dispatcher/state_purchase_view/34696444"/>
    <hyperlink ref="B114" r:id="rId109" display="https://my.zakupki.prom.ua/remote/dispatcher/state_purchase_view/34696437"/>
    <hyperlink ref="B115" r:id="rId110" display="https://my.zakupki.prom.ua/remote/dispatcher/state_purchase_view/34696434"/>
    <hyperlink ref="B116" r:id="rId111" display="https://my.zakupki.prom.ua/remote/dispatcher/state_purchase_view/34696431"/>
    <hyperlink ref="B117" r:id="rId112" display="https://my.zakupki.prom.ua/remote/dispatcher/state_purchase_view/34696422"/>
    <hyperlink ref="B118" r:id="rId113" display="https://my.zakupki.prom.ua/remote/dispatcher/state_purchase_view/34696421"/>
    <hyperlink ref="B119" r:id="rId114" display="https://my.zakupki.prom.ua/remote/dispatcher/state_purchase_view/34696406"/>
    <hyperlink ref="B120" r:id="rId115" display="https://my.zakupki.prom.ua/remote/dispatcher/state_purchase_view/34696389"/>
    <hyperlink ref="B121" r:id="rId116" display="https://my.zakupki.prom.ua/remote/dispatcher/state_purchase_view/34696388"/>
    <hyperlink ref="B122" r:id="rId117" display="https://my.zakupki.prom.ua/remote/dispatcher/state_purchase_view/34696386"/>
    <hyperlink ref="B123" r:id="rId118" display="https://my.zakupki.prom.ua/remote/dispatcher/state_purchase_view/34696378"/>
    <hyperlink ref="B124" r:id="rId119" display="https://my.zakupki.prom.ua/remote/dispatcher/state_purchase_view/34696373"/>
    <hyperlink ref="B125" r:id="rId120" display="https://my.zakupki.prom.ua/remote/dispatcher/state_purchase_view/34696122"/>
    <hyperlink ref="B126" r:id="rId121" display="https://my.zakupki.prom.ua/remote/dispatcher/state_purchase_view/34696307"/>
    <hyperlink ref="B127" r:id="rId122" display="https://my.zakupki.prom.ua/remote/dispatcher/state_purchase_view/34696009"/>
    <hyperlink ref="B128" r:id="rId123" display="https://my.zakupki.prom.ua/remote/dispatcher/state_purchase_view/34696201"/>
    <hyperlink ref="B129" r:id="rId124" display="https://my.zakupki.prom.ua/remote/dispatcher/state_purchase_view/34696283"/>
    <hyperlink ref="B130" r:id="rId125" display="https://my.zakupki.prom.ua/remote/dispatcher/state_purchase_view/34695625"/>
    <hyperlink ref="B131" r:id="rId126" display="https://my.zakupki.prom.ua/remote/dispatcher/state_purchase_view/34696224"/>
    <hyperlink ref="B132" r:id="rId127" display="https://my.zakupki.prom.ua/remote/dispatcher/state_purchase_view/34696192"/>
    <hyperlink ref="B133" r:id="rId128" display="https://my.zakupki.prom.ua/remote/dispatcher/state_purchase_view/34696165"/>
    <hyperlink ref="B134" r:id="rId129" display="https://my.zakupki.prom.ua/remote/dispatcher/state_purchase_view/34696156"/>
    <hyperlink ref="B135" r:id="rId130" display="https://my.zakupki.prom.ua/remote/dispatcher/state_purchase_view/34696154"/>
    <hyperlink ref="B136" r:id="rId131" display="https://my.zakupki.prom.ua/remote/dispatcher/state_purchase_view/34696151"/>
    <hyperlink ref="B137" r:id="rId132" display="https://my.zakupki.prom.ua/remote/dispatcher/state_purchase_view/34696141"/>
    <hyperlink ref="B138" r:id="rId133" display="https://my.zakupki.prom.ua/remote/dispatcher/state_purchase_view/34696139"/>
    <hyperlink ref="B139" r:id="rId134" display="https://my.zakupki.prom.ua/remote/dispatcher/state_purchase_view/34696134"/>
    <hyperlink ref="B140" r:id="rId135" display="https://my.zakupki.prom.ua/remote/dispatcher/state_purchase_view/34696129"/>
    <hyperlink ref="B141" r:id="rId136" display="https://my.zakupki.prom.ua/remote/dispatcher/state_purchase_view/34696126"/>
    <hyperlink ref="B142" r:id="rId137" display="https://my.zakupki.prom.ua/remote/dispatcher/state_purchase_view/34696104"/>
    <hyperlink ref="B143" r:id="rId138" display="https://my.zakupki.prom.ua/remote/dispatcher/state_purchase_view/34696077"/>
    <hyperlink ref="B144" r:id="rId139" display="https://my.zakupki.prom.ua/remote/dispatcher/state_purchase_view/34695343"/>
    <hyperlink ref="B145" r:id="rId140" display="https://my.zakupki.prom.ua/remote/dispatcher/state_purchase_view/34695983"/>
    <hyperlink ref="B146" r:id="rId141" display="https://my.zakupki.prom.ua/remote/dispatcher/state_purchase_view/34695908"/>
    <hyperlink ref="B147" r:id="rId142" display="https://my.zakupki.prom.ua/remote/dispatcher/state_purchase_view/34695872"/>
    <hyperlink ref="B148" r:id="rId143" display="https://my.zakupki.prom.ua/remote/dispatcher/state_purchase_view/34695840"/>
    <hyperlink ref="B149" r:id="rId144" display="https://my.zakupki.prom.ua/remote/dispatcher/state_purchase_view/34695835"/>
    <hyperlink ref="B150" r:id="rId145" display="https://my.zakupki.prom.ua/remote/dispatcher/state_purchase_view/34695833"/>
    <hyperlink ref="B151" r:id="rId146" display="https://my.zakupki.prom.ua/remote/dispatcher/state_purchase_view/34695790"/>
    <hyperlink ref="B152" r:id="rId147" display="https://my.zakupki.prom.ua/remote/dispatcher/state_purchase_view/34695756"/>
    <hyperlink ref="B153" r:id="rId148" display="https://my.zakupki.prom.ua/remote/dispatcher/state_purchase_view/34695757"/>
    <hyperlink ref="B154" r:id="rId149" display="https://my.zakupki.prom.ua/remote/dispatcher/state_purchase_view/34695747"/>
    <hyperlink ref="B155" r:id="rId150" display="https://my.zakupki.prom.ua/remote/dispatcher/state_purchase_lot_view/740643"/>
    <hyperlink ref="B156" r:id="rId151" display="https://my.zakupki.prom.ua/remote/dispatcher/state_purchase_lot_view/740644"/>
    <hyperlink ref="B157" r:id="rId152" display="https://my.zakupki.prom.ua/remote/dispatcher/state_purchase_view/34695724"/>
    <hyperlink ref="B158" r:id="rId153" display="https://my.zakupki.prom.ua/remote/dispatcher/state_purchase_view/34695048"/>
    <hyperlink ref="B159" r:id="rId154" display="https://my.zakupki.prom.ua/remote/dispatcher/state_purchase_view/34695427"/>
    <hyperlink ref="B160" r:id="rId155" display="https://my.zakupki.prom.ua/remote/dispatcher/state_purchase_view/34695674"/>
    <hyperlink ref="B161" r:id="rId156" display="https://my.zakupki.prom.ua/remote/dispatcher/state_purchase_view/34695639"/>
    <hyperlink ref="B162" r:id="rId157" display="https://my.zakupki.prom.ua/remote/dispatcher/state_purchase_view/34695629"/>
    <hyperlink ref="B163" r:id="rId158" display="https://my.zakupki.prom.ua/remote/dispatcher/state_purchase_view/34695637"/>
    <hyperlink ref="B164" r:id="rId159" display="https://my.zakupki.prom.ua/remote/dispatcher/state_purchase_view/34695616"/>
    <hyperlink ref="B165" r:id="rId160" display="https://my.zakupki.prom.ua/remote/dispatcher/state_purchase_view/34695566"/>
    <hyperlink ref="B166" r:id="rId161" display="https://my.zakupki.prom.ua/remote/dispatcher/state_purchase_view/34695571"/>
    <hyperlink ref="B167" r:id="rId162" display="https://my.zakupki.prom.ua/remote/dispatcher/state_purchase_view/34695555"/>
    <hyperlink ref="B168" r:id="rId163" display="https://my.zakupki.prom.ua/remote/dispatcher/state_purchase_lot_view/740784"/>
    <hyperlink ref="B169" r:id="rId164" display="https://my.zakupki.prom.ua/remote/dispatcher/state_purchase_lot_view/740785"/>
    <hyperlink ref="B170" r:id="rId165" display="https://my.zakupki.prom.ua/remote/dispatcher/state_purchase_view/34695539"/>
    <hyperlink ref="B171" r:id="rId166" display="https://my.zakupki.prom.ua/remote/dispatcher/state_purchase_view/34695528"/>
    <hyperlink ref="B172" r:id="rId167" display="https://my.zakupki.prom.ua/remote/dispatcher/state_purchase_view/34695522"/>
    <hyperlink ref="B173" r:id="rId168" display="https://my.zakupki.prom.ua/remote/dispatcher/state_purchase_view/34695508"/>
    <hyperlink ref="B174" r:id="rId169" display="https://my.zakupki.prom.ua/remote/dispatcher/state_purchase_view/34695503"/>
    <hyperlink ref="B175" r:id="rId170" display="https://my.zakupki.prom.ua/remote/dispatcher/state_purchase_view/34695501"/>
    <hyperlink ref="B176" r:id="rId171" display="https://my.zakupki.prom.ua/remote/dispatcher/state_purchase_view/34695493"/>
    <hyperlink ref="B177" r:id="rId172" display="https://my.zakupki.prom.ua/remote/dispatcher/state_purchase_view/34695488"/>
    <hyperlink ref="B178" r:id="rId173" display="https://my.zakupki.prom.ua/remote/dispatcher/state_purchase_view/34695474"/>
    <hyperlink ref="B179" r:id="rId174" display="https://my.zakupki.prom.ua/remote/dispatcher/state_purchase_view/34695456"/>
    <hyperlink ref="B180" r:id="rId175" display="https://my.zakupki.prom.ua/remote/dispatcher/state_purchase_lot_view/740782"/>
    <hyperlink ref="B181" r:id="rId176" display="https://my.zakupki.prom.ua/remote/dispatcher/state_purchase_lot_view/740783"/>
    <hyperlink ref="B182" r:id="rId177" display="https://my.zakupki.prom.ua/remote/dispatcher/state_purchase_view/34695444"/>
    <hyperlink ref="B183" r:id="rId178" display="https://my.zakupki.prom.ua/remote/dispatcher/state_purchase_view/34695440"/>
    <hyperlink ref="B184" r:id="rId179" display="https://my.zakupki.prom.ua/remote/dispatcher/state_purchase_view/34695426"/>
    <hyperlink ref="B185" r:id="rId180" display="https://my.zakupki.prom.ua/remote/dispatcher/state_purchase_view/34694678"/>
    <hyperlink ref="B186" r:id="rId181" display="https://my.zakupki.prom.ua/remote/dispatcher/state_purchase_view/34695335"/>
    <hyperlink ref="B187" r:id="rId182" display="https://my.zakupki.prom.ua/remote/dispatcher/state_purchase_view/34695275"/>
    <hyperlink ref="B188" r:id="rId183" display="https://my.zakupki.prom.ua/remote/dispatcher/state_purchase_view/34695266"/>
    <hyperlink ref="B189" r:id="rId184" display="https://my.zakupki.prom.ua/remote/dispatcher/state_purchase_view/34695244"/>
    <hyperlink ref="B190" r:id="rId185" display="https://my.zakupki.prom.ua/remote/dispatcher/state_purchase_view/34695112"/>
    <hyperlink ref="B191" r:id="rId186" display="https://my.zakupki.prom.ua/remote/dispatcher/state_purchase_view/34695079"/>
    <hyperlink ref="B192" r:id="rId187" display="https://my.zakupki.prom.ua/remote/dispatcher/state_purchase_view/34695080"/>
    <hyperlink ref="B193" r:id="rId188" display="https://my.zakupki.prom.ua/remote/dispatcher/state_purchase_view/34695065"/>
    <hyperlink ref="B194" r:id="rId189" display="https://my.zakupki.prom.ua/remote/dispatcher/state_purchase_view/34695058"/>
    <hyperlink ref="B195" r:id="rId190" display="https://my.zakupki.prom.ua/remote/dispatcher/state_purchase_view/34695052"/>
    <hyperlink ref="B196" r:id="rId191" display="https://my.zakupki.prom.ua/remote/dispatcher/state_purchase_view/34695049"/>
    <hyperlink ref="B197" r:id="rId192" display="https://my.zakupki.prom.ua/remote/dispatcher/state_purchase_view/34695037"/>
    <hyperlink ref="B198" r:id="rId193" display="https://my.zakupki.prom.ua/remote/dispatcher/state_purchase_view/34695022"/>
    <hyperlink ref="B199" r:id="rId194" display="https://my.zakupki.prom.ua/remote/dispatcher/state_purchase_view/34695017"/>
    <hyperlink ref="B200" r:id="rId195" display="https://my.zakupki.prom.ua/remote/dispatcher/state_purchase_view/34695004"/>
    <hyperlink ref="B201" r:id="rId196" display="https://my.zakupki.prom.ua/remote/dispatcher/state_purchase_view/34695003"/>
    <hyperlink ref="B202" r:id="rId197" display="https://my.zakupki.prom.ua/remote/dispatcher/state_purchase_view/34695002"/>
    <hyperlink ref="B203" r:id="rId198" display="https://my.zakupki.prom.ua/remote/dispatcher/state_purchase_view/34694987"/>
    <hyperlink ref="B204" r:id="rId199" display="https://my.zakupki.prom.ua/remote/dispatcher/state_purchase_view/34694979"/>
    <hyperlink ref="B205" r:id="rId200" display="https://my.zakupki.prom.ua/remote/dispatcher/state_purchase_view/34694977"/>
    <hyperlink ref="B206" r:id="rId201" display="https://my.zakupki.prom.ua/remote/dispatcher/state_purchase_view/34694958"/>
    <hyperlink ref="B207" r:id="rId202" display="https://my.zakupki.prom.ua/remote/dispatcher/state_purchase_view/34694955"/>
    <hyperlink ref="B208" r:id="rId203" display="https://my.zakupki.prom.ua/remote/dispatcher/state_purchase_view/34694894"/>
    <hyperlink ref="B209" r:id="rId204" display="https://my.zakupki.prom.ua/remote/dispatcher/state_purchase_view/34694845"/>
    <hyperlink ref="B210" r:id="rId205" display="https://my.zakupki.prom.ua/remote/dispatcher/state_purchase_view/34694711"/>
    <hyperlink ref="B211" r:id="rId206" display="https://my.zakupki.prom.ua/remote/dispatcher/state_purchase_view/34694623"/>
    <hyperlink ref="B212" r:id="rId207" display="https://my.zakupki.prom.ua/remote/dispatcher/state_purchase_view/34693787"/>
    <hyperlink ref="B213" r:id="rId208" display="https://my.zakupki.prom.ua/remote/dispatcher/state_purchase_view/34694584"/>
    <hyperlink ref="B214" r:id="rId209" display="https://my.zakupki.prom.ua/remote/dispatcher/state_purchase_view/34694579"/>
    <hyperlink ref="B215" r:id="rId210" display="https://my.zakupki.prom.ua/remote/dispatcher/state_purchase_view/34694555"/>
    <hyperlink ref="B216" r:id="rId211" display="https://my.zakupki.prom.ua/remote/dispatcher/state_purchase_view/34694536"/>
    <hyperlink ref="B217" r:id="rId212" display="https://my.zakupki.prom.ua/remote/dispatcher/state_purchase_lot_view/740779"/>
    <hyperlink ref="B218" r:id="rId213" display="https://my.zakupki.prom.ua/remote/dispatcher/state_purchase_view/34694407"/>
    <hyperlink ref="B219" r:id="rId214" display="https://my.zakupki.prom.ua/remote/dispatcher/state_purchase_lot_view/740777"/>
    <hyperlink ref="B220" r:id="rId215" display="https://my.zakupki.prom.ua/remote/dispatcher/state_purchase_lot_view/740778"/>
    <hyperlink ref="B221" r:id="rId216" display="https://my.zakupki.prom.ua/remote/dispatcher/state_purchase_view/34694372"/>
    <hyperlink ref="B222" r:id="rId217" display="https://my.zakupki.prom.ua/remote/dispatcher/state_purchase_view/34694365"/>
    <hyperlink ref="B223" r:id="rId218" display="https://my.zakupki.prom.ua/remote/dispatcher/state_purchase_view/34694332"/>
    <hyperlink ref="B224" r:id="rId219" display="https://my.zakupki.prom.ua/remote/dispatcher/state_purchase_view/34694329"/>
    <hyperlink ref="B225" r:id="rId220" display="https://my.zakupki.prom.ua/remote/dispatcher/state_purchase_view/34694323"/>
    <hyperlink ref="B226" r:id="rId221" display="https://my.zakupki.prom.ua/remote/dispatcher/state_purchase_view/34694289"/>
    <hyperlink ref="B227" r:id="rId222" display="https://my.zakupki.prom.ua/remote/dispatcher/state_purchase_view/34694291"/>
    <hyperlink ref="B228" r:id="rId223" display="https://my.zakupki.prom.ua/remote/dispatcher/state_purchase_view/34694274"/>
    <hyperlink ref="B229" r:id="rId224" display="https://my.zakupki.prom.ua/remote/dispatcher/state_purchase_view/34694271"/>
    <hyperlink ref="B230" r:id="rId225" display="https://my.zakupki.prom.ua/remote/dispatcher/state_purchase_view/34694238"/>
    <hyperlink ref="B231" r:id="rId226" display="https://my.zakupki.prom.ua/remote/dispatcher/state_purchase_view/34694220"/>
    <hyperlink ref="B232" r:id="rId227" display="https://my.zakupki.prom.ua/remote/dispatcher/state_purchase_view/34694214"/>
    <hyperlink ref="B233" r:id="rId228" display="https://my.zakupki.prom.ua/remote/dispatcher/state_purchase_view/34684960"/>
    <hyperlink ref="B234" r:id="rId229" display="https://my.zakupki.prom.ua/remote/dispatcher/state_purchase_view/34694212"/>
    <hyperlink ref="B235" r:id="rId230" display="https://my.zakupki.prom.ua/remote/dispatcher/state_purchase_view/34694181"/>
    <hyperlink ref="B236" r:id="rId231" display="https://my.zakupki.prom.ua/remote/dispatcher/state_purchase_view/34694179"/>
    <hyperlink ref="B237" r:id="rId232" display="https://my.zakupki.prom.ua/remote/dispatcher/state_purchase_view/34694162"/>
    <hyperlink ref="B238" r:id="rId233" display="https://my.zakupki.prom.ua/remote/dispatcher/state_purchase_view/34694144"/>
    <hyperlink ref="B239" r:id="rId234" display="https://my.zakupki.prom.ua/remote/dispatcher/state_purchase_view/34693569"/>
    <hyperlink ref="B240" r:id="rId235" display="https://my.zakupki.prom.ua/remote/dispatcher/state_purchase_view/34693845"/>
    <hyperlink ref="B241" r:id="rId236" display="https://my.zakupki.prom.ua/remote/dispatcher/state_purchase_view/34682384"/>
    <hyperlink ref="B242" r:id="rId237" display="https://my.zakupki.prom.ua/remote/dispatcher/state_purchase_view/34693772"/>
    <hyperlink ref="B243" r:id="rId238" display="https://my.zakupki.prom.ua/remote/dispatcher/state_purchase_view/34693743"/>
    <hyperlink ref="B244" r:id="rId239" display="https://my.zakupki.prom.ua/remote/dispatcher/state_purchase_view/34693718"/>
    <hyperlink ref="B245" r:id="rId240" display="https://my.zakupki.prom.ua/remote/dispatcher/state_purchase_view/34693715"/>
    <hyperlink ref="B246" r:id="rId241" display="https://my.zakupki.prom.ua/remote/dispatcher/state_purchase_view/34693689"/>
    <hyperlink ref="B247" r:id="rId242" display="https://my.zakupki.prom.ua/remote/dispatcher/state_purchase_view/34693646"/>
    <hyperlink ref="B248" r:id="rId243" display="https://my.zakupki.prom.ua/remote/dispatcher/state_purchase_view/34693674"/>
    <hyperlink ref="B249" r:id="rId244" display="https://my.zakupki.prom.ua/remote/dispatcher/state_purchase_view/34693671"/>
    <hyperlink ref="B250" r:id="rId245" display="https://my.zakupki.prom.ua/remote/dispatcher/state_purchase_view/34693659"/>
    <hyperlink ref="B251" r:id="rId246" display="https://my.zakupki.prom.ua/remote/dispatcher/state_purchase_view/34693666"/>
    <hyperlink ref="B252" r:id="rId247" display="https://my.zakupki.prom.ua/remote/dispatcher/state_purchase_view/34692957"/>
    <hyperlink ref="B253" r:id="rId248" display="https://my.zakupki.prom.ua/remote/dispatcher/state_purchase_view/34693622"/>
    <hyperlink ref="B254" r:id="rId249" display="https://my.zakupki.prom.ua/remote/dispatcher/state_purchase_view/34693599"/>
    <hyperlink ref="B255" r:id="rId250" display="https://my.zakupki.prom.ua/remote/dispatcher/state_purchase_view/34693595"/>
    <hyperlink ref="B256" r:id="rId251" display="https://my.zakupki.prom.ua/remote/dispatcher/state_purchase_view/34693588"/>
    <hyperlink ref="B257" r:id="rId252" display="https://my.zakupki.prom.ua/remote/dispatcher/state_purchase_view/34693578"/>
    <hyperlink ref="B258" r:id="rId253" display="https://my.zakupki.prom.ua/remote/dispatcher/state_purchase_view/34693573"/>
    <hyperlink ref="B259" r:id="rId254" display="https://my.zakupki.prom.ua/remote/dispatcher/state_purchase_view/34693571"/>
    <hyperlink ref="B260" r:id="rId255" display="https://my.zakupki.prom.ua/remote/dispatcher/state_purchase_view/34693556"/>
    <hyperlink ref="B261" r:id="rId256" display="https://my.zakupki.prom.ua/remote/dispatcher/state_purchase_view/34667835"/>
    <hyperlink ref="B262" r:id="rId257" display="https://my.zakupki.prom.ua/remote/dispatcher/state_purchase_view/34693529"/>
    <hyperlink ref="B263" r:id="rId258" display="https://my.zakupki.prom.ua/remote/dispatcher/state_purchase_view/34670584"/>
    <hyperlink ref="B264" r:id="rId259" display="https://my.zakupki.prom.ua/remote/dispatcher/state_purchase_view/34693362"/>
    <hyperlink ref="B265" r:id="rId260" display="https://my.zakupki.prom.ua/remote/dispatcher/state_purchase_view/34693495"/>
    <hyperlink ref="B266" r:id="rId261" display="https://my.zakupki.prom.ua/remote/dispatcher/state_purchase_view/34693433"/>
    <hyperlink ref="B267" r:id="rId262" display="https://my.zakupki.prom.ua/remote/dispatcher/state_purchase_view/34693430"/>
    <hyperlink ref="B268" r:id="rId263" display="https://my.zakupki.prom.ua/remote/dispatcher/state_purchase_view/34693425"/>
    <hyperlink ref="B269" r:id="rId264" display="https://my.zakupki.prom.ua/remote/dispatcher/state_purchase_view/34693410"/>
    <hyperlink ref="B270" r:id="rId265" display="https://my.zakupki.prom.ua/remote/dispatcher/state_purchase_view/34693405"/>
    <hyperlink ref="B271" r:id="rId266" display="https://my.zakupki.prom.ua/remote/dispatcher/state_purchase_view/34692792"/>
    <hyperlink ref="B272" r:id="rId267" display="https://my.zakupki.prom.ua/remote/dispatcher/state_purchase_view/34693398"/>
    <hyperlink ref="B273" r:id="rId268" display="https://my.zakupki.prom.ua/remote/dispatcher/state_purchase_view/34693390"/>
    <hyperlink ref="B274" r:id="rId269" display="https://my.zakupki.prom.ua/remote/dispatcher/state_purchase_view/34693379"/>
    <hyperlink ref="B275" r:id="rId270" display="https://my.zakupki.prom.ua/remote/dispatcher/state_purchase_view/34693366"/>
    <hyperlink ref="B276" r:id="rId271" display="https://my.zakupki.prom.ua/remote/dispatcher/state_purchase_view/34692713"/>
    <hyperlink ref="B277" r:id="rId272" display="https://my.zakupki.prom.ua/remote/dispatcher/state_purchase_view/34693316"/>
    <hyperlink ref="B278" r:id="rId273" display="https://my.zakupki.prom.ua/remote/dispatcher/state_purchase_view/34693165"/>
    <hyperlink ref="B279" r:id="rId274" display="https://my.zakupki.prom.ua/remote/dispatcher/state_purchase_view/34693161"/>
    <hyperlink ref="B280" r:id="rId275" display="https://my.zakupki.prom.ua/remote/dispatcher/state_purchase_view/34693135"/>
    <hyperlink ref="B281" r:id="rId276" display="https://my.zakupki.prom.ua/remote/dispatcher/state_purchase_view/34693071"/>
    <hyperlink ref="B282" r:id="rId277" display="https://my.zakupki.prom.ua/remote/dispatcher/state_purchase_view/34693044"/>
    <hyperlink ref="B283" r:id="rId278" display="https://my.zakupki.prom.ua/remote/dispatcher/state_purchase_view/34693029"/>
    <hyperlink ref="B284" r:id="rId279" display="https://my.zakupki.prom.ua/remote/dispatcher/state_purchase_view/34692622"/>
    <hyperlink ref="B285" r:id="rId280" display="https://my.zakupki.prom.ua/remote/dispatcher/state_purchase_view/34692993"/>
    <hyperlink ref="B286" r:id="rId281" display="https://my.zakupki.prom.ua/remote/dispatcher/state_purchase_view/34692965"/>
    <hyperlink ref="B287" r:id="rId282" display="https://my.zakupki.prom.ua/remote/dispatcher/state_purchase_view/34692958"/>
    <hyperlink ref="B288" r:id="rId283" display="https://my.zakupki.prom.ua/remote/dispatcher/state_purchase_view/34692940"/>
    <hyperlink ref="B289" r:id="rId284" display="https://my.zakupki.prom.ua/remote/dispatcher/state_purchase_view/34692918"/>
    <hyperlink ref="B290" r:id="rId285" display="https://my.zakupki.prom.ua/remote/dispatcher/state_purchase_view/34692922"/>
    <hyperlink ref="B291" r:id="rId286" display="https://my.zakupki.prom.ua/remote/dispatcher/state_purchase_view/34692870"/>
    <hyperlink ref="B292" r:id="rId287" display="https://my.zakupki.prom.ua/remote/dispatcher/state_purchase_view/34692852"/>
    <hyperlink ref="B293" r:id="rId288" display="https://my.zakupki.prom.ua/remote/dispatcher/state_purchase_view/34692848"/>
    <hyperlink ref="B294" r:id="rId289" display="https://my.zakupki.prom.ua/remote/dispatcher/state_purchase_view/34692845"/>
    <hyperlink ref="B295" r:id="rId290" display="https://my.zakupki.prom.ua/remote/dispatcher/state_purchase_view/34692825"/>
    <hyperlink ref="B296" r:id="rId291" display="https://my.zakupki.prom.ua/remote/dispatcher/state_purchase_view/34692824"/>
    <hyperlink ref="B297" r:id="rId292" display="https://my.zakupki.prom.ua/remote/dispatcher/state_purchase_view/34692800"/>
    <hyperlink ref="B298" r:id="rId293" display="https://my.zakupki.prom.ua/remote/dispatcher/state_purchase_view/34692803"/>
    <hyperlink ref="B299" r:id="rId294" display="https://my.zakupki.prom.ua/remote/dispatcher/state_purchase_view/34692788"/>
    <hyperlink ref="B300" r:id="rId295" display="https://my.zakupki.prom.ua/remote/dispatcher/state_purchase_view/34692783"/>
    <hyperlink ref="B301" r:id="rId296" display="https://my.zakupki.prom.ua/remote/dispatcher/state_purchase_view/34692784"/>
    <hyperlink ref="B302" r:id="rId297" display="https://my.zakupki.prom.ua/remote/dispatcher/state_purchase_view/34692782"/>
    <hyperlink ref="B303" r:id="rId298" display="https://my.zakupki.prom.ua/remote/dispatcher/state_purchase_view/34692745"/>
    <hyperlink ref="B304" r:id="rId299" display="https://my.zakupki.prom.ua/remote/dispatcher/state_purchase_view/34692724"/>
    <hyperlink ref="B305" r:id="rId300" display="https://my.zakupki.prom.ua/remote/dispatcher/state_purchase_view/34692688"/>
    <hyperlink ref="B306" r:id="rId301" display="https://my.zakupki.prom.ua/remote/dispatcher/state_purchase_view/34692685"/>
    <hyperlink ref="B307" r:id="rId302" display="https://my.zakupki.prom.ua/remote/dispatcher/state_purchase_view/34692601"/>
    <hyperlink ref="B308" r:id="rId303" display="https://my.zakupki.prom.ua/remote/dispatcher/state_purchase_view/34692568"/>
    <hyperlink ref="B309" r:id="rId304" display="https://my.zakupki.prom.ua/remote/dispatcher/state_purchase_view/34692548"/>
    <hyperlink ref="B310" r:id="rId305" display="https://my.zakupki.prom.ua/remote/dispatcher/state_purchase_view/34692530"/>
    <hyperlink ref="B311" r:id="rId306" display="https://my.zakupki.prom.ua/remote/dispatcher/state_purchase_view/34692528"/>
    <hyperlink ref="B312" r:id="rId307" display="https://my.zakupki.prom.ua/remote/dispatcher/state_purchase_view/34692511"/>
    <hyperlink ref="B313" r:id="rId308" display="https://my.zakupki.prom.ua/remote/dispatcher/state_purchase_lot_view/740757"/>
    <hyperlink ref="B314" r:id="rId309" display="https://my.zakupki.prom.ua/remote/dispatcher/state_purchase_lot_view/740758"/>
    <hyperlink ref="B315" r:id="rId310" display="https://my.zakupki.prom.ua/remote/dispatcher/state_purchase_lot_view/740759"/>
    <hyperlink ref="B316" r:id="rId311" display="https://my.zakupki.prom.ua/remote/dispatcher/state_purchase_lot_view/740760"/>
    <hyperlink ref="B317" r:id="rId312" display="https://my.zakupki.prom.ua/remote/dispatcher/state_purchase_lot_view/740761"/>
    <hyperlink ref="B318" r:id="rId313" display="https://my.zakupki.prom.ua/remote/dispatcher/state_purchase_view/34692449"/>
    <hyperlink ref="B319" r:id="rId314" display="https://my.zakupki.prom.ua/remote/dispatcher/state_purchase_view/34692437"/>
    <hyperlink ref="B320" r:id="rId315" display="https://my.zakupki.prom.ua/remote/dispatcher/state_purchase_lot_view/740754"/>
    <hyperlink ref="B321" r:id="rId316" display="https://my.zakupki.prom.ua/remote/dispatcher/state_purchase_lot_view/740755"/>
    <hyperlink ref="B322" r:id="rId317" display="https://my.zakupki.prom.ua/remote/dispatcher/state_purchase_lot_view/740756"/>
    <hyperlink ref="B323" r:id="rId318" display="https://my.zakupki.prom.ua/remote/dispatcher/state_purchase_view/34692158"/>
    <hyperlink ref="B324" r:id="rId319" display="https://my.zakupki.prom.ua/remote/dispatcher/state_purchase_view/34691603"/>
    <hyperlink ref="B325" r:id="rId320" display="https://my.zakupki.prom.ua/remote/dispatcher/state_purchase_view/34692089"/>
    <hyperlink ref="B326" r:id="rId321" display="https://my.zakupki.prom.ua/remote/dispatcher/state_purchase_view/34692120"/>
    <hyperlink ref="B327" r:id="rId322" display="https://my.zakupki.prom.ua/remote/dispatcher/state_purchase_view/34691207"/>
    <hyperlink ref="B328" r:id="rId323" display="https://my.zakupki.prom.ua/remote/dispatcher/state_purchase_view/34692061"/>
    <hyperlink ref="B329" r:id="rId324" display="https://my.zakupki.prom.ua/remote/dispatcher/state_purchase_view/34692051"/>
    <hyperlink ref="B330" r:id="rId325" display="https://my.zakupki.prom.ua/remote/dispatcher/state_purchase_view/34692030"/>
    <hyperlink ref="B331" r:id="rId326" display="https://my.zakupki.prom.ua/remote/dispatcher/state_purchase_view/34691289"/>
    <hyperlink ref="B332" r:id="rId327" display="https://my.zakupki.prom.ua/remote/dispatcher/state_purchase_view/34692003"/>
    <hyperlink ref="B333" r:id="rId328" display="https://my.zakupki.prom.ua/remote/dispatcher/state_purchase_view/34691925"/>
    <hyperlink ref="B334" r:id="rId329" display="https://my.zakupki.prom.ua/remote/dispatcher/state_purchase_view/34691923"/>
    <hyperlink ref="B335" r:id="rId330" display="https://my.zakupki.prom.ua/remote/dispatcher/state_purchase_view/34691908"/>
    <hyperlink ref="B336" r:id="rId331" display="https://my.zakupki.prom.ua/remote/dispatcher/state_purchase_view/34691906"/>
    <hyperlink ref="B337" r:id="rId332" display="https://my.zakupki.prom.ua/remote/dispatcher/state_purchase_view/34691848"/>
    <hyperlink ref="B338" r:id="rId333" display="https://my.zakupki.prom.ua/remote/dispatcher/state_purchase_view/34691798"/>
    <hyperlink ref="B339" r:id="rId334" display="https://my.zakupki.prom.ua/remote/dispatcher/state_purchase_view/34691777"/>
    <hyperlink ref="B340" r:id="rId335" display="https://my.zakupki.prom.ua/remote/dispatcher/state_purchase_view/34691771"/>
    <hyperlink ref="B341" r:id="rId336" display="https://my.zakupki.prom.ua/remote/dispatcher/state_purchase_view/34691765"/>
    <hyperlink ref="B342" r:id="rId337" display="https://my.zakupki.prom.ua/remote/dispatcher/state_purchase_view/34691198"/>
    <hyperlink ref="B343" r:id="rId338" display="https://my.zakupki.prom.ua/remote/dispatcher/state_purchase_view/34691707"/>
    <hyperlink ref="B344" r:id="rId339" display="https://my.zakupki.prom.ua/remote/dispatcher/state_purchase_view/34691698"/>
    <hyperlink ref="B345" r:id="rId340" display="https://my.zakupki.prom.ua/remote/dispatcher/state_purchase_view/34691687"/>
    <hyperlink ref="B346" r:id="rId341" display="https://my.zakupki.prom.ua/remote/dispatcher/state_purchase_view/34691688"/>
    <hyperlink ref="B347" r:id="rId342" display="https://my.zakupki.prom.ua/remote/dispatcher/state_purchase_view/34691659"/>
    <hyperlink ref="B348" r:id="rId343" display="https://my.zakupki.prom.ua/remote/dispatcher/state_purchase_view/34691645"/>
    <hyperlink ref="B349" r:id="rId344" display="https://my.zakupki.prom.ua/remote/dispatcher/state_purchase_view/34691620"/>
    <hyperlink ref="B350" r:id="rId345" display="https://my.zakupki.prom.ua/remote/dispatcher/state_purchase_view/34691307"/>
    <hyperlink ref="B351" r:id="rId346" display="https://my.zakupki.prom.ua/remote/dispatcher/state_purchase_view/34691301"/>
    <hyperlink ref="B352" r:id="rId347" display="https://my.zakupki.prom.ua/remote/dispatcher/state_purchase_lot_view/740752"/>
    <hyperlink ref="B353" r:id="rId348" display="https://my.zakupki.prom.ua/remote/dispatcher/state_purchase_lot_view/740753"/>
    <hyperlink ref="B354" r:id="rId349" display="https://my.zakupki.prom.ua/remote/dispatcher/state_purchase_view/34691254"/>
    <hyperlink ref="B355" r:id="rId350" display="https://my.zakupki.prom.ua/remote/dispatcher/state_purchase_view/34681272"/>
    <hyperlink ref="B356" r:id="rId351" display="https://my.zakupki.prom.ua/remote/dispatcher/state_purchase_view/34691229"/>
    <hyperlink ref="B357" r:id="rId352" display="https://my.zakupki.prom.ua/remote/dispatcher/state_purchase_view/34691184"/>
    <hyperlink ref="B358" r:id="rId353" display="https://my.zakupki.prom.ua/remote/dispatcher/state_purchase_view/34691163"/>
    <hyperlink ref="B359" r:id="rId354" display="https://my.zakupki.prom.ua/remote/dispatcher/state_purchase_view/34691147"/>
    <hyperlink ref="B360" r:id="rId355" display="https://my.zakupki.prom.ua/remote/dispatcher/state_purchase_view/34691134"/>
    <hyperlink ref="B361" r:id="rId356" display="https://my.zakupki.prom.ua/remote/dispatcher/state_purchase_view/34691107"/>
    <hyperlink ref="B362" r:id="rId357" display="https://my.zakupki.prom.ua/remote/dispatcher/state_purchase_view/34691097"/>
    <hyperlink ref="B363" r:id="rId358" display="https://my.zakupki.prom.ua/remote/dispatcher/state_purchase_view/34691093"/>
    <hyperlink ref="B364" r:id="rId359" display="https://my.zakupki.prom.ua/remote/dispatcher/state_purchase_view/34691076"/>
    <hyperlink ref="B365" r:id="rId360" display="https://my.zakupki.prom.ua/remote/dispatcher/state_purchase_view/34691064"/>
    <hyperlink ref="B366" r:id="rId361" display="https://my.zakupki.prom.ua/remote/dispatcher/state_purchase_view/34685568"/>
    <hyperlink ref="B367" r:id="rId362" display="https://my.zakupki.prom.ua/remote/dispatcher/state_purchase_view/34639533"/>
    <hyperlink ref="B368" r:id="rId363" display="https://my.zakupki.prom.ua/remote/dispatcher/state_purchase_view/34690929"/>
    <hyperlink ref="B369" r:id="rId364" display="https://my.zakupki.prom.ua/remote/dispatcher/state_purchase_view/34690441"/>
    <hyperlink ref="B370" r:id="rId365" display="https://my.zakupki.prom.ua/remote/dispatcher/state_purchase_view/34690911"/>
    <hyperlink ref="B371" r:id="rId366" display="https://my.zakupki.prom.ua/remote/dispatcher/state_purchase_view/34690163"/>
    <hyperlink ref="B372" r:id="rId367" display="https://my.zakupki.prom.ua/remote/dispatcher/state_purchase_view/34666551"/>
    <hyperlink ref="B373" r:id="rId368" display="https://my.zakupki.prom.ua/remote/dispatcher/state_purchase_view/34690875"/>
    <hyperlink ref="B374" r:id="rId369" display="https://my.zakupki.prom.ua/remote/dispatcher/state_purchase_view/34690870"/>
    <hyperlink ref="B375" r:id="rId370" display="https://my.zakupki.prom.ua/remote/dispatcher/state_purchase_view/34690845"/>
    <hyperlink ref="B376" r:id="rId371" display="https://my.zakupki.prom.ua/remote/dispatcher/state_purchase_view/34690840"/>
    <hyperlink ref="B377" r:id="rId372" display="https://my.zakupki.prom.ua/remote/dispatcher/state_purchase_view/34690803"/>
    <hyperlink ref="B378" r:id="rId373" display="https://my.zakupki.prom.ua/remote/dispatcher/state_purchase_view/34690800"/>
    <hyperlink ref="B379" r:id="rId374" display="https://my.zakupki.prom.ua/remote/dispatcher/state_purchase_view/34690789"/>
    <hyperlink ref="B380" r:id="rId375" display="https://my.zakupki.prom.ua/remote/dispatcher/state_purchase_view/34690736"/>
    <hyperlink ref="B381" r:id="rId376" display="https://my.zakupki.prom.ua/remote/dispatcher/state_purchase_view/34690729"/>
    <hyperlink ref="B382" r:id="rId377" display="https://my.zakupki.prom.ua/remote/dispatcher/state_purchase_view/34690710"/>
    <hyperlink ref="B383" r:id="rId378" display="https://my.zakupki.prom.ua/remote/dispatcher/state_purchase_view/34690689"/>
    <hyperlink ref="B384" r:id="rId379" display="https://my.zakupki.prom.ua/remote/dispatcher/state_purchase_view/34690684"/>
    <hyperlink ref="B385" r:id="rId380" display="https://my.zakupki.prom.ua/remote/dispatcher/state_purchase_view/34690650"/>
    <hyperlink ref="B386" r:id="rId381" display="https://my.zakupki.prom.ua/remote/dispatcher/state_purchase_view/34690551"/>
    <hyperlink ref="B387" r:id="rId382" display="https://my.zakupki.prom.ua/remote/dispatcher/state_purchase_view/34690533"/>
    <hyperlink ref="B388" r:id="rId383" display="https://my.zakupki.prom.ua/remote/dispatcher/state_purchase_view/34690524"/>
    <hyperlink ref="B389" r:id="rId384" display="https://my.zakupki.prom.ua/remote/dispatcher/state_purchase_view/34690194"/>
    <hyperlink ref="B390" r:id="rId385" display="https://my.zakupki.prom.ua/remote/dispatcher/state_purchase_view/34690448"/>
    <hyperlink ref="B391" r:id="rId386" display="https://my.zakupki.prom.ua/remote/dispatcher/state_purchase_view/34690419"/>
    <hyperlink ref="B392" r:id="rId387" display="https://my.zakupki.prom.ua/remote/dispatcher/state_purchase_view/34690412"/>
    <hyperlink ref="B393" r:id="rId388" display="https://my.zakupki.prom.ua/remote/dispatcher/state_purchase_view/34690389"/>
    <hyperlink ref="B394" r:id="rId389" display="https://my.zakupki.prom.ua/remote/dispatcher/state_purchase_view/34690195"/>
    <hyperlink ref="B395" r:id="rId390" display="https://my.zakupki.prom.ua/remote/dispatcher/state_purchase_view/34690363"/>
    <hyperlink ref="B396" r:id="rId391" display="https://my.zakupki.prom.ua/remote/dispatcher/state_purchase_view/34690356"/>
    <hyperlink ref="B397" r:id="rId392" display="https://my.zakupki.prom.ua/remote/dispatcher/state_purchase_view/34690352"/>
    <hyperlink ref="B398" r:id="rId393" display="https://my.zakupki.prom.ua/remote/dispatcher/state_purchase_view/34690349"/>
    <hyperlink ref="B399" r:id="rId394" display="https://my.zakupki.prom.ua/remote/dispatcher/state_purchase_view/34690335"/>
    <hyperlink ref="B400" r:id="rId395" display="https://my.zakupki.prom.ua/remote/dispatcher/state_purchase_view/34690318"/>
    <hyperlink ref="B401" r:id="rId396" display="https://my.zakupki.prom.ua/remote/dispatcher/state_purchase_view/34690314"/>
    <hyperlink ref="B402" r:id="rId397" display="https://my.zakupki.prom.ua/remote/dispatcher/state_purchase_view/34690301"/>
    <hyperlink ref="B403" r:id="rId398" display="https://my.zakupki.prom.ua/remote/dispatcher/state_purchase_view/34690287"/>
    <hyperlink ref="B404" r:id="rId399" display="https://my.zakupki.prom.ua/remote/dispatcher/state_purchase_view/34690285"/>
    <hyperlink ref="B405" r:id="rId400" display="https://my.zakupki.prom.ua/remote/dispatcher/state_purchase_view/34690274"/>
    <hyperlink ref="B406" r:id="rId401" display="https://my.zakupki.prom.ua/remote/dispatcher/state_purchase_view/34690278"/>
    <hyperlink ref="B407" r:id="rId402" display="https://my.zakupki.prom.ua/remote/dispatcher/state_purchase_view/34690255"/>
    <hyperlink ref="B408" r:id="rId403" display="https://my.zakupki.prom.ua/remote/dispatcher/state_purchase_view/34690253"/>
    <hyperlink ref="B409" r:id="rId404" display="https://my.zakupki.prom.ua/remote/dispatcher/state_purchase_view/34690245"/>
    <hyperlink ref="B410" r:id="rId405" display="https://my.zakupki.prom.ua/remote/dispatcher/state_purchase_view/34690238"/>
    <hyperlink ref="B411" r:id="rId406" display="https://my.zakupki.prom.ua/remote/dispatcher/state_purchase_lot_view/740744"/>
    <hyperlink ref="B412" r:id="rId407" display="https://my.zakupki.prom.ua/remote/dispatcher/state_purchase_view/34690208"/>
    <hyperlink ref="B413" r:id="rId408" display="https://my.zakupki.prom.ua/remote/dispatcher/state_purchase_view/34690203"/>
    <hyperlink ref="B414" r:id="rId409" display="https://my.zakupki.prom.ua/remote/dispatcher/state_purchase_view/34690182"/>
    <hyperlink ref="B415" r:id="rId410" display="https://my.zakupki.prom.ua/remote/dispatcher/state_purchase_view/34690178"/>
    <hyperlink ref="B416" r:id="rId411" display="https://my.zakupki.prom.ua/remote/dispatcher/state_purchase_view/34690168"/>
    <hyperlink ref="B417" r:id="rId412" display="https://my.zakupki.prom.ua/remote/dispatcher/state_purchase_view/34690138"/>
    <hyperlink ref="B418" r:id="rId413" display="https://my.zakupki.prom.ua/remote/dispatcher/state_purchase_view/34690135"/>
    <hyperlink ref="B419" r:id="rId414" display="https://my.zakupki.prom.ua/remote/dispatcher/state_purchase_view/34690133"/>
    <hyperlink ref="B420" r:id="rId415" display="https://my.zakupki.prom.ua/remote/dispatcher/state_purchase_view/34690124"/>
    <hyperlink ref="B421" r:id="rId416" display="https://my.zakupki.prom.ua/remote/dispatcher/state_purchase_view/34689934"/>
    <hyperlink ref="B422" r:id="rId417" display="https://my.zakupki.prom.ua/remote/dispatcher/state_purchase_view/34689921"/>
    <hyperlink ref="B423" r:id="rId418" display="https://my.zakupki.prom.ua/remote/dispatcher/state_purchase_view/34689889"/>
    <hyperlink ref="B424" r:id="rId419" display="https://my.zakupki.prom.ua/remote/dispatcher/state_purchase_view/34689879"/>
    <hyperlink ref="B425" r:id="rId420" display="https://my.zakupki.prom.ua/remote/dispatcher/state_purchase_lot_view/740741"/>
    <hyperlink ref="B426" r:id="rId421" display="https://my.zakupki.prom.ua/remote/dispatcher/state_purchase_lot_view/740742"/>
    <hyperlink ref="B427" r:id="rId422" display="https://my.zakupki.prom.ua/remote/dispatcher/state_purchase_lot_view/740743"/>
    <hyperlink ref="B428" r:id="rId423" display="https://my.zakupki.prom.ua/remote/dispatcher/state_purchase_view/34689830"/>
    <hyperlink ref="B429" r:id="rId424" display="https://my.zakupki.prom.ua/remote/dispatcher/state_purchase_view/34689823"/>
    <hyperlink ref="B430" r:id="rId425" display="https://my.zakupki.prom.ua/remote/dispatcher/state_purchase_view/34689818"/>
    <hyperlink ref="B431" r:id="rId426" display="https://my.zakupki.prom.ua/remote/dispatcher/state_purchase_view/34689811"/>
    <hyperlink ref="B432" r:id="rId427" display="https://my.zakupki.prom.ua/remote/dispatcher/state_purchase_view/34689807"/>
    <hyperlink ref="B433" r:id="rId428" display="https://my.zakupki.prom.ua/remote/dispatcher/state_purchase_lot_view/740740"/>
    <hyperlink ref="B434" r:id="rId429" display="https://my.zakupki.prom.ua/remote/dispatcher/state_purchase_view/34689769"/>
    <hyperlink ref="B435" r:id="rId430" display="https://my.zakupki.prom.ua/remote/dispatcher/state_purchase_view/34686990"/>
    <hyperlink ref="B436" r:id="rId431" display="https://my.zakupki.prom.ua/remote/dispatcher/state_purchase_view/34689697"/>
    <hyperlink ref="B437" r:id="rId432" display="https://my.zakupki.prom.ua/remote/dispatcher/state_purchase_view/34689692"/>
    <hyperlink ref="B438" r:id="rId433" display="https://my.zakupki.prom.ua/remote/dispatcher/state_purchase_view/34689647"/>
    <hyperlink ref="B439" r:id="rId434" display="https://my.zakupki.prom.ua/remote/dispatcher/state_purchase_view/34689646"/>
    <hyperlink ref="B440" r:id="rId435" display="https://my.zakupki.prom.ua/remote/dispatcher/state_purchase_view/34689639"/>
    <hyperlink ref="B441" r:id="rId436" display="https://my.zakupki.prom.ua/remote/dispatcher/state_purchase_view/34689637"/>
    <hyperlink ref="B442" r:id="rId437" display="https://my.zakupki.prom.ua/remote/dispatcher/state_purchase_lot_view/740736"/>
    <hyperlink ref="B443" r:id="rId438" display="https://my.zakupki.prom.ua/remote/dispatcher/state_purchase_lot_view/740737"/>
    <hyperlink ref="B444" r:id="rId439" display="https://my.zakupki.prom.ua/remote/dispatcher/state_purchase_view/34689627"/>
    <hyperlink ref="B445" r:id="rId440" display="https://my.zakupki.prom.ua/remote/dispatcher/state_purchase_view/34689620"/>
    <hyperlink ref="B446" r:id="rId441" display="https://my.zakupki.prom.ua/remote/dispatcher/state_purchase_view/34689607"/>
    <hyperlink ref="B447" r:id="rId442" display="https://my.zakupki.prom.ua/remote/dispatcher/state_purchase_view/34689595"/>
    <hyperlink ref="B448" r:id="rId443" display="https://my.zakupki.prom.ua/remote/dispatcher/state_purchase_view/34689577"/>
    <hyperlink ref="B449" r:id="rId444" display="https://my.zakupki.prom.ua/remote/dispatcher/state_purchase_view/34689565"/>
    <hyperlink ref="B450" r:id="rId445" display="https://my.zakupki.prom.ua/remote/dispatcher/state_purchase_view/34689547"/>
    <hyperlink ref="B451" r:id="rId446" display="https://my.zakupki.prom.ua/remote/dispatcher/state_purchase_view/34689505"/>
    <hyperlink ref="B452" r:id="rId447" display="https://my.zakupki.prom.ua/remote/dispatcher/state_purchase_view/34689295"/>
    <hyperlink ref="B453" r:id="rId448" display="https://my.zakupki.prom.ua/remote/dispatcher/state_purchase_view/34689499"/>
    <hyperlink ref="B454" r:id="rId449" display="https://my.zakupki.prom.ua/remote/dispatcher/state_purchase_view/34689308"/>
    <hyperlink ref="B455" r:id="rId450" display="https://my.zakupki.prom.ua/remote/dispatcher/state_purchase_view/34689293"/>
    <hyperlink ref="B456" r:id="rId451" display="https://my.zakupki.prom.ua/remote/dispatcher/state_purchase_view/34689258"/>
    <hyperlink ref="B457" r:id="rId452" display="https://my.zakupki.prom.ua/remote/dispatcher/state_purchase_view/34689039"/>
    <hyperlink ref="B458" r:id="rId453" display="https://my.zakupki.prom.ua/remote/dispatcher/state_purchase_view/34689203"/>
    <hyperlink ref="B459" r:id="rId454" display="https://my.zakupki.prom.ua/remote/dispatcher/state_purchase_view/34689198"/>
    <hyperlink ref="B460" r:id="rId455" display="https://my.zakupki.prom.ua/remote/dispatcher/state_purchase_view/34689184"/>
    <hyperlink ref="B461" r:id="rId456" display="https://my.zakupki.prom.ua/remote/dispatcher/state_purchase_view/34689161"/>
    <hyperlink ref="B462" r:id="rId457" display="https://my.zakupki.prom.ua/remote/dispatcher/state_purchase_view/34689153"/>
    <hyperlink ref="B463" r:id="rId458" display="https://my.zakupki.prom.ua/remote/dispatcher/state_purchase_view/34689147"/>
    <hyperlink ref="B464" r:id="rId459" display="https://my.zakupki.prom.ua/remote/dispatcher/state_purchase_view/34689145"/>
    <hyperlink ref="B465" r:id="rId460" display="https://my.zakupki.prom.ua/remote/dispatcher/state_purchase_lot_view/740728"/>
    <hyperlink ref="B466" r:id="rId461" display="https://my.zakupki.prom.ua/remote/dispatcher/state_purchase_lot_view/740729"/>
    <hyperlink ref="B467" r:id="rId462" display="https://my.zakupki.prom.ua/remote/dispatcher/state_purchase_lot_view/740730"/>
    <hyperlink ref="B468" r:id="rId463" display="https://my.zakupki.prom.ua/remote/dispatcher/state_purchase_view/34689120"/>
    <hyperlink ref="B469" r:id="rId464" display="https://my.zakupki.prom.ua/remote/dispatcher/state_purchase_view/34689117"/>
    <hyperlink ref="B470" r:id="rId465" display="https://my.zakupki.prom.ua/remote/dispatcher/state_purchase_view/34689116"/>
    <hyperlink ref="B471" r:id="rId466" display="https://my.zakupki.prom.ua/remote/dispatcher/state_purchase_view/34689110"/>
    <hyperlink ref="B472" r:id="rId467" display="https://my.zakupki.prom.ua/remote/dispatcher/state_purchase_view/34689082"/>
    <hyperlink ref="B473" r:id="rId468" display="https://my.zakupki.prom.ua/remote/dispatcher/state_purchase_view/34689071"/>
    <hyperlink ref="B474" r:id="rId469" display="https://my.zakupki.prom.ua/remote/dispatcher/state_purchase_view/34689043"/>
    <hyperlink ref="B475" r:id="rId470" display="https://my.zakupki.prom.ua/remote/dispatcher/state_purchase_lot_view/740465"/>
    <hyperlink ref="B476" r:id="rId471" display="https://my.zakupki.prom.ua/remote/dispatcher/state_purchase_lot_view/740466"/>
    <hyperlink ref="B477" r:id="rId472" display="https://my.zakupki.prom.ua/remote/dispatcher/state_purchase_view/34688467"/>
    <hyperlink ref="B478" r:id="rId473" display="https://my.zakupki.prom.ua/remote/dispatcher/state_purchase_view/34688986"/>
    <hyperlink ref="B479" r:id="rId474" display="https://my.zakupki.prom.ua/remote/dispatcher/state_purchase_view/34688983"/>
    <hyperlink ref="B480" r:id="rId475" display="https://my.zakupki.prom.ua/remote/dispatcher/state_purchase_view/34688974"/>
    <hyperlink ref="B481" r:id="rId476" display="https://my.zakupki.prom.ua/remote/dispatcher/state_purchase_view/34688965"/>
    <hyperlink ref="B482" r:id="rId477" display="https://my.zakupki.prom.ua/remote/dispatcher/state_purchase_view/34688946"/>
    <hyperlink ref="B483" r:id="rId478" display="https://my.zakupki.prom.ua/remote/dispatcher/state_purchase_view/34688867"/>
    <hyperlink ref="B484" r:id="rId479" display="https://my.zakupki.prom.ua/remote/dispatcher/state_purchase_view/34688870"/>
    <hyperlink ref="B485" r:id="rId480" display="https://my.zakupki.prom.ua/remote/dispatcher/state_purchase_lot_view/740727"/>
    <hyperlink ref="B486" r:id="rId481" display="https://my.zakupki.prom.ua/remote/dispatcher/state_purchase_view/34688839"/>
    <hyperlink ref="B487" r:id="rId482" display="https://my.zakupki.prom.ua/remote/dispatcher/state_purchase_lot_view/740726"/>
    <hyperlink ref="B488" r:id="rId483" display="https://my.zakupki.prom.ua/remote/dispatcher/state_purchase_view/34688797"/>
    <hyperlink ref="B489" r:id="rId484" display="https://my.zakupki.prom.ua/remote/dispatcher/state_purchase_view/34688794"/>
    <hyperlink ref="B490" r:id="rId485" display="https://my.zakupki.prom.ua/remote/dispatcher/state_purchase_view/34688772"/>
    <hyperlink ref="B491" r:id="rId486" display="https://my.zakupki.prom.ua/remote/dispatcher/state_purchase_view/34688741"/>
    <hyperlink ref="B492" r:id="rId487" display="https://my.zakupki.prom.ua/remote/dispatcher/state_purchase_view/34688710"/>
    <hyperlink ref="B493" r:id="rId488" display="https://my.zakupki.prom.ua/remote/dispatcher/state_purchase_view/34688703"/>
    <hyperlink ref="B494" r:id="rId489" display="https://my.zakupki.prom.ua/remote/dispatcher/state_purchase_view/34688661"/>
    <hyperlink ref="B495" r:id="rId490" display="https://my.zakupki.prom.ua/remote/dispatcher/state_purchase_lot_view/740692"/>
    <hyperlink ref="B496" r:id="rId491" display="https://my.zakupki.prom.ua/remote/dispatcher/state_purchase_lot_view/740725"/>
    <hyperlink ref="B497" r:id="rId492" display="https://my.zakupki.prom.ua/remote/dispatcher/state_purchase_view/34688644"/>
    <hyperlink ref="B498" r:id="rId493" display="https://my.zakupki.prom.ua/remote/dispatcher/state_purchase_view/34688622"/>
    <hyperlink ref="B499" r:id="rId494" display="https://my.zakupki.prom.ua/remote/dispatcher/state_purchase_view/34688618"/>
    <hyperlink ref="B500" r:id="rId495" display="https://my.zakupki.prom.ua/remote/dispatcher/state_purchase_view/34688606"/>
    <hyperlink ref="B501" r:id="rId496" display="https://my.zakupki.prom.ua/remote/dispatcher/state_purchase_view/34688585"/>
    <hyperlink ref="B502" r:id="rId497" display="https://my.zakupki.prom.ua/remote/dispatcher/state_purchase_view/34688584"/>
    <hyperlink ref="B503" r:id="rId498" display="https://my.zakupki.prom.ua/remote/dispatcher/state_purchase_view/34688580"/>
    <hyperlink ref="B504" r:id="rId499" display="https://my.zakupki.prom.ua/remote/dispatcher/state_purchase_view/34688557"/>
    <hyperlink ref="B505" r:id="rId500" display="https://my.zakupki.prom.ua/remote/dispatcher/state_purchase_view/34688552"/>
    <hyperlink ref="B506" r:id="rId501" display="https://my.zakupki.prom.ua/remote/dispatcher/state_purchase_view/34688534"/>
    <hyperlink ref="B507" r:id="rId502" display="https://my.zakupki.prom.ua/remote/dispatcher/state_purchase_view/34688527"/>
    <hyperlink ref="B508" r:id="rId503" display="https://my.zakupki.prom.ua/remote/dispatcher/state_purchase_view/34688519"/>
    <hyperlink ref="B509" r:id="rId504" display="https://my.zakupki.prom.ua/remote/dispatcher/state_purchase_view/34688516"/>
    <hyperlink ref="B510" r:id="rId505" display="https://my.zakupki.prom.ua/remote/dispatcher/state_purchase_view/34688513"/>
    <hyperlink ref="B511" r:id="rId506" display="https://my.zakupki.prom.ua/remote/dispatcher/state_purchase_view/34688498"/>
    <hyperlink ref="B512" r:id="rId507" display="https://my.zakupki.prom.ua/remote/dispatcher/state_purchase_view/34688491"/>
    <hyperlink ref="B513" r:id="rId508" display="https://my.zakupki.prom.ua/remote/dispatcher/state_purchase_view/34688487"/>
    <hyperlink ref="B514" r:id="rId509" display="https://my.zakupki.prom.ua/remote/dispatcher/state_purchase_view/34688475"/>
    <hyperlink ref="B515" r:id="rId510" display="https://my.zakupki.prom.ua/remote/dispatcher/state_purchase_view/34688449"/>
    <hyperlink ref="B516" r:id="rId511" display="https://my.zakupki.prom.ua/remote/dispatcher/state_purchase_view/34688376"/>
    <hyperlink ref="B517" r:id="rId512" display="https://my.zakupki.prom.ua/remote/dispatcher/state_purchase_view/34687287"/>
    <hyperlink ref="B518" r:id="rId513" display="https://my.zakupki.prom.ua/remote/dispatcher/state_purchase_view/34688414"/>
    <hyperlink ref="B519" r:id="rId514" display="https://my.zakupki.prom.ua/remote/dispatcher/state_purchase_view/34688405"/>
    <hyperlink ref="B520" r:id="rId515" display="https://my.zakupki.prom.ua/remote/dispatcher/state_purchase_view/34688380"/>
    <hyperlink ref="B521" r:id="rId516" display="https://my.zakupki.prom.ua/remote/dispatcher/state_purchase_view/34688362"/>
    <hyperlink ref="B522" r:id="rId517" display="https://my.zakupki.prom.ua/remote/dispatcher/state_purchase_view/34688359"/>
    <hyperlink ref="B523" r:id="rId518" display="https://my.zakupki.prom.ua/remote/dispatcher/state_purchase_view/34688353"/>
    <hyperlink ref="B524" r:id="rId519" display="https://my.zakupki.prom.ua/remote/dispatcher/state_purchase_view/34687276"/>
    <hyperlink ref="B525" r:id="rId520" display="https://my.zakupki.prom.ua/remote/dispatcher/state_purchase_view/34688337"/>
    <hyperlink ref="B526" r:id="rId521" display="https://my.zakupki.prom.ua/remote/dispatcher/state_purchase_view/34675233"/>
    <hyperlink ref="B527" r:id="rId522" display="https://my.zakupki.prom.ua/remote/dispatcher/state_purchase_view/34688318"/>
    <hyperlink ref="B528" r:id="rId523" display="https://my.zakupki.prom.ua/remote/dispatcher/state_purchase_view/34688288"/>
    <hyperlink ref="B529" r:id="rId524" display="https://my.zakupki.prom.ua/remote/dispatcher/state_purchase_view/34688281"/>
    <hyperlink ref="B530" r:id="rId525" display="https://my.zakupki.prom.ua/remote/dispatcher/state_purchase_view/34688277"/>
    <hyperlink ref="B531" r:id="rId526" display="https://my.zakupki.prom.ua/remote/dispatcher/state_purchase_lot_view/740721"/>
    <hyperlink ref="B532" r:id="rId527" display="https://my.zakupki.prom.ua/remote/dispatcher/state_purchase_lot_view/740722"/>
    <hyperlink ref="B533" r:id="rId528" display="https://my.zakupki.prom.ua/remote/dispatcher/state_purchase_view/34688274"/>
    <hyperlink ref="B534" r:id="rId529" display="https://my.zakupki.prom.ua/remote/dispatcher/state_purchase_view/34688258"/>
    <hyperlink ref="B535" r:id="rId530" display="https://my.zakupki.prom.ua/remote/dispatcher/state_purchase_view/34688256"/>
    <hyperlink ref="B536" r:id="rId531" display="https://my.zakupki.prom.ua/remote/dispatcher/state_purchase_view/34688255"/>
    <hyperlink ref="B537" r:id="rId532" display="https://my.zakupki.prom.ua/remote/dispatcher/state_purchase_view/34688244"/>
    <hyperlink ref="B538" r:id="rId533" display="https://my.zakupki.prom.ua/remote/dispatcher/state_purchase_view/34688233"/>
    <hyperlink ref="B539" r:id="rId534" display="https://my.zakupki.prom.ua/remote/dispatcher/state_purchase_view/34688235"/>
    <hyperlink ref="B540" r:id="rId535" display="https://my.zakupki.prom.ua/remote/dispatcher/state_purchase_lot_view/740719"/>
    <hyperlink ref="B541" r:id="rId536" display="https://my.zakupki.prom.ua/remote/dispatcher/state_purchase_lot_view/740720"/>
    <hyperlink ref="B542" r:id="rId537" display="https://my.zakupki.prom.ua/remote/dispatcher/state_purchase_view/34688192"/>
    <hyperlink ref="B543" r:id="rId538" display="https://my.zakupki.prom.ua/remote/dispatcher/state_purchase_view/34688187"/>
    <hyperlink ref="B544" r:id="rId539" display="https://my.zakupki.prom.ua/remote/dispatcher/state_purchase_view/34688184"/>
    <hyperlink ref="B545" r:id="rId540" display="https://my.zakupki.prom.ua/remote/dispatcher/state_purchase_view/34688169"/>
    <hyperlink ref="B546" r:id="rId541" display="https://my.zakupki.prom.ua/remote/dispatcher/state_purchase_view/34688164"/>
    <hyperlink ref="B547" r:id="rId542" display="https://my.zakupki.prom.ua/remote/dispatcher/state_purchase_view/34688163"/>
    <hyperlink ref="B548" r:id="rId543" display="https://my.zakupki.prom.ua/remote/dispatcher/state_purchase_view/34687939"/>
    <hyperlink ref="B549" r:id="rId544" display="https://my.zakupki.prom.ua/remote/dispatcher/state_purchase_view/34687922"/>
    <hyperlink ref="B550" r:id="rId545" display="https://my.zakupki.prom.ua/remote/dispatcher/state_purchase_lot_view/740690"/>
    <hyperlink ref="B551" r:id="rId546" display="https://my.zakupki.prom.ua/remote/dispatcher/state_purchase_lot_view/740691"/>
    <hyperlink ref="B552" r:id="rId547" display="https://my.zakupki.prom.ua/remote/dispatcher/state_purchase_view/34686346"/>
    <hyperlink ref="B553" r:id="rId548" display="https://my.zakupki.prom.ua/remote/dispatcher/state_purchase_view/34687877"/>
    <hyperlink ref="B554" r:id="rId549" display="https://my.zakupki.prom.ua/remote/dispatcher/state_purchase_view/34687843"/>
    <hyperlink ref="B555" r:id="rId550" display="https://my.zakupki.prom.ua/remote/dispatcher/state_purchase_lot_view/740706"/>
    <hyperlink ref="B556" r:id="rId551" display="https://my.zakupki.prom.ua/remote/dispatcher/state_purchase_lot_view/740707"/>
    <hyperlink ref="B557" r:id="rId552" display="https://my.zakupki.prom.ua/remote/dispatcher/state_purchase_lot_view/740708"/>
    <hyperlink ref="B558" r:id="rId553" display="https://my.zakupki.prom.ua/remote/dispatcher/state_purchase_lot_view/740709"/>
    <hyperlink ref="B559" r:id="rId554" display="https://my.zakupki.prom.ua/remote/dispatcher/state_purchase_lot_view/740710"/>
    <hyperlink ref="B560" r:id="rId555" display="https://my.zakupki.prom.ua/remote/dispatcher/state_purchase_lot_view/740711"/>
    <hyperlink ref="B561" r:id="rId556" display="https://my.zakupki.prom.ua/remote/dispatcher/state_purchase_lot_view/740712"/>
    <hyperlink ref="B562" r:id="rId557" display="https://my.zakupki.prom.ua/remote/dispatcher/state_purchase_lot_view/740713"/>
    <hyperlink ref="B563" r:id="rId558" display="https://my.zakupki.prom.ua/remote/dispatcher/state_purchase_lot_view/740714"/>
    <hyperlink ref="B564" r:id="rId559" display="https://my.zakupki.prom.ua/remote/dispatcher/state_purchase_lot_view/740715"/>
    <hyperlink ref="B565" r:id="rId560" display="https://my.zakupki.prom.ua/remote/dispatcher/state_purchase_lot_view/740716"/>
    <hyperlink ref="B566" r:id="rId561" display="https://my.zakupki.prom.ua/remote/dispatcher/state_purchase_lot_view/740717"/>
    <hyperlink ref="B567" r:id="rId562" display="https://my.zakupki.prom.ua/remote/dispatcher/state_purchase_lot_view/740718"/>
    <hyperlink ref="B568" r:id="rId563" display="https://my.zakupki.prom.ua/remote/dispatcher/state_purchase_view/34687811"/>
    <hyperlink ref="B569" r:id="rId564" display="https://my.zakupki.prom.ua/remote/dispatcher/state_purchase_view/34687803"/>
    <hyperlink ref="B570" r:id="rId565" display="https://my.zakupki.prom.ua/remote/dispatcher/state_purchase_view/34687799"/>
    <hyperlink ref="B571" r:id="rId566" display="https://my.zakupki.prom.ua/remote/dispatcher/state_purchase_view/34687786"/>
    <hyperlink ref="B572" r:id="rId567" display="https://my.zakupki.prom.ua/remote/dispatcher/state_purchase_view/34687785"/>
    <hyperlink ref="B573" r:id="rId568" display="https://my.zakupki.prom.ua/remote/dispatcher/state_purchase_view/34687780"/>
    <hyperlink ref="B574" r:id="rId569" display="https://my.zakupki.prom.ua/remote/dispatcher/state_purchase_view/34687769"/>
    <hyperlink ref="B575" r:id="rId570" display="https://my.zakupki.prom.ua/remote/dispatcher/state_purchase_view/34687758"/>
    <hyperlink ref="B576" r:id="rId571" display="https://my.zakupki.prom.ua/remote/dispatcher/state_purchase_view/34687709"/>
    <hyperlink ref="B577" r:id="rId572" display="https://my.zakupki.prom.ua/remote/dispatcher/state_purchase_view/34687704"/>
    <hyperlink ref="B578" r:id="rId573" display="https://my.zakupki.prom.ua/remote/dispatcher/state_purchase_view/34687675"/>
    <hyperlink ref="B579" r:id="rId574" display="https://my.zakupki.prom.ua/remote/dispatcher/state_purchase_view/34687662"/>
    <hyperlink ref="B580" r:id="rId575" display="https://my.zakupki.prom.ua/remote/dispatcher/state_purchase_view/34687648"/>
    <hyperlink ref="B581" r:id="rId576" display="https://my.zakupki.prom.ua/remote/dispatcher/state_purchase_view/34687627"/>
    <hyperlink ref="B582" r:id="rId577" display="https://my.zakupki.prom.ua/remote/dispatcher/state_purchase_view/34687593"/>
    <hyperlink ref="B583" r:id="rId578" display="https://my.zakupki.prom.ua/remote/dispatcher/state_purchase_view/34687590"/>
    <hyperlink ref="B584" r:id="rId579" display="https://my.zakupki.prom.ua/remote/dispatcher/state_purchase_view/34687556"/>
    <hyperlink ref="B585" r:id="rId580" display="https://my.zakupki.prom.ua/remote/dispatcher/state_purchase_view/34687551"/>
    <hyperlink ref="B586" r:id="rId581" display="https://my.zakupki.prom.ua/remote/dispatcher/state_purchase_view/34687546"/>
    <hyperlink ref="B587" r:id="rId582" display="https://my.zakupki.prom.ua/remote/dispatcher/state_purchase_view/34687511"/>
    <hyperlink ref="B588" r:id="rId583" display="https://my.zakupki.prom.ua/remote/dispatcher/state_purchase_view/34687478"/>
    <hyperlink ref="B589" r:id="rId584" display="https://my.zakupki.prom.ua/remote/dispatcher/state_purchase_view/34687335"/>
    <hyperlink ref="B590" r:id="rId585" display="https://my.zakupki.prom.ua/remote/dispatcher/state_purchase_view/34687318"/>
    <hyperlink ref="B591" r:id="rId586" display="https://my.zakupki.prom.ua/remote/dispatcher/state_purchase_view/34687313"/>
    <hyperlink ref="B592" r:id="rId587" display="https://my.zakupki.prom.ua/remote/dispatcher/state_purchase_view/34687286"/>
    <hyperlink ref="B593" r:id="rId588" display="https://my.zakupki.prom.ua/remote/dispatcher/state_purchase_view/34687237"/>
    <hyperlink ref="B594" r:id="rId589" display="https://my.zakupki.prom.ua/remote/dispatcher/state_purchase_view/34687231"/>
    <hyperlink ref="B595" r:id="rId590" display="https://my.zakupki.prom.ua/remote/dispatcher/state_purchase_view/34687219"/>
    <hyperlink ref="B596" r:id="rId591" display="https://my.zakupki.prom.ua/remote/dispatcher/state_purchase_lot_view/740705"/>
    <hyperlink ref="B597" r:id="rId592" display="https://my.zakupki.prom.ua/remote/dispatcher/state_purchase_lot_view/740694"/>
    <hyperlink ref="B598" r:id="rId593" display="https://my.zakupki.prom.ua/remote/dispatcher/state_purchase_lot_view/740695"/>
    <hyperlink ref="B599" r:id="rId594" display="https://my.zakupki.prom.ua/remote/dispatcher/state_purchase_lot_view/740696"/>
    <hyperlink ref="B600" r:id="rId595" display="https://my.zakupki.prom.ua/remote/dispatcher/state_purchase_lot_view/740697"/>
    <hyperlink ref="B601" r:id="rId596" display="https://my.zakupki.prom.ua/remote/dispatcher/state_purchase_lot_view/740698"/>
    <hyperlink ref="B602" r:id="rId597" display="https://my.zakupki.prom.ua/remote/dispatcher/state_purchase_lot_view/740699"/>
    <hyperlink ref="B603" r:id="rId598" display="https://my.zakupki.prom.ua/remote/dispatcher/state_purchase_lot_view/740700"/>
    <hyperlink ref="B604" r:id="rId599" display="https://my.zakupki.prom.ua/remote/dispatcher/state_purchase_lot_view/740701"/>
    <hyperlink ref="B605" r:id="rId600" display="https://my.zakupki.prom.ua/remote/dispatcher/state_purchase_lot_view/740702"/>
    <hyperlink ref="B606" r:id="rId601" display="https://my.zakupki.prom.ua/remote/dispatcher/state_purchase_lot_view/740703"/>
    <hyperlink ref="B607" r:id="rId602" display="https://my.zakupki.prom.ua/remote/dispatcher/state_purchase_lot_view/740704"/>
    <hyperlink ref="B608" r:id="rId603" display="https://my.zakupki.prom.ua/remote/dispatcher/state_purchase_view/34687210"/>
    <hyperlink ref="B609" r:id="rId604" display="https://my.zakupki.prom.ua/remote/dispatcher/state_purchase_view/34687209"/>
    <hyperlink ref="B610" r:id="rId605" display="https://my.zakupki.prom.ua/remote/dispatcher/state_purchase_view/34687208"/>
    <hyperlink ref="B611" r:id="rId606" display="https://my.zakupki.prom.ua/remote/dispatcher/state_purchase_view/34687203"/>
    <hyperlink ref="B612" r:id="rId607" display="https://my.zakupki.prom.ua/remote/dispatcher/state_purchase_view/34687198"/>
    <hyperlink ref="B613" r:id="rId608" display="https://my.zakupki.prom.ua/remote/dispatcher/state_purchase_view/34687195"/>
    <hyperlink ref="B614" r:id="rId609" display="https://my.zakupki.prom.ua/remote/dispatcher/state_purchase_view/34687191"/>
    <hyperlink ref="B615" r:id="rId610" display="https://my.zakupki.prom.ua/remote/dispatcher/state_purchase_view/34687186"/>
    <hyperlink ref="B616" r:id="rId611" display="https://my.zakupki.prom.ua/remote/dispatcher/state_purchase_view/34687151"/>
    <hyperlink ref="B617" r:id="rId612" display="https://my.zakupki.prom.ua/remote/dispatcher/state_purchase_view/34687149"/>
    <hyperlink ref="B618" r:id="rId613" display="https://my.zakupki.prom.ua/remote/dispatcher/state_purchase_view/34687127"/>
    <hyperlink ref="B619" r:id="rId614" display="https://my.zakupki.prom.ua/remote/dispatcher/state_purchase_view/34687069"/>
    <hyperlink ref="B620" r:id="rId615" display="https://my.zakupki.prom.ua/remote/dispatcher/state_purchase_view/34687057"/>
    <hyperlink ref="B621" r:id="rId616" display="https://my.zakupki.prom.ua/remote/dispatcher/state_purchase_view/34687024"/>
    <hyperlink ref="B622" r:id="rId617" display="https://my.zakupki.prom.ua/remote/dispatcher/state_purchase_view/34686526"/>
    <hyperlink ref="B623" r:id="rId618" display="https://my.zakupki.prom.ua/remote/dispatcher/state_purchase_view/34687007"/>
    <hyperlink ref="B624" r:id="rId619" display="https://my.zakupki.prom.ua/remote/dispatcher/state_purchase_view/34684354"/>
    <hyperlink ref="B625" r:id="rId620" display="https://my.zakupki.prom.ua/remote/dispatcher/state_purchase_view/34686856"/>
    <hyperlink ref="B626" r:id="rId621" display="https://my.zakupki.prom.ua/remote/dispatcher/state_purchase_view/34686767"/>
    <hyperlink ref="B627" r:id="rId622" display="https://my.zakupki.prom.ua/remote/dispatcher/state_purchase_view/34686742"/>
    <hyperlink ref="B628" r:id="rId623" display="https://my.zakupki.prom.ua/remote/dispatcher/state_purchase_view/34686735"/>
    <hyperlink ref="B629" r:id="rId624" display="https://my.zakupki.prom.ua/remote/dispatcher/state_purchase_view/34686704"/>
    <hyperlink ref="B630" r:id="rId625" display="https://my.zakupki.prom.ua/remote/dispatcher/state_purchase_view/34686702"/>
    <hyperlink ref="B631" r:id="rId626" display="https://my.zakupki.prom.ua/remote/dispatcher/state_purchase_view/34686697"/>
    <hyperlink ref="B632" r:id="rId627" display="https://my.zakupki.prom.ua/remote/dispatcher/state_purchase_view/34686687"/>
    <hyperlink ref="B633" r:id="rId628" display="https://my.zakupki.prom.ua/remote/dispatcher/state_purchase_view/34686672"/>
    <hyperlink ref="B634" r:id="rId629" display="https://my.zakupki.prom.ua/remote/dispatcher/state_purchase_view/34686561"/>
    <hyperlink ref="B635" r:id="rId630" display="https://my.zakupki.prom.ua/remote/dispatcher/state_purchase_view/34686532"/>
    <hyperlink ref="B636" r:id="rId631" display="https://my.zakupki.prom.ua/remote/dispatcher/state_purchase_view/34686503"/>
    <hyperlink ref="B637" r:id="rId632" display="https://my.zakupki.prom.ua/remote/dispatcher/state_purchase_view/34686501"/>
    <hyperlink ref="B638" r:id="rId633" display="https://my.zakupki.prom.ua/remote/dispatcher/state_purchase_view/34686502"/>
    <hyperlink ref="B639" r:id="rId634" display="https://my.zakupki.prom.ua/remote/dispatcher/state_purchase_view/34686482"/>
    <hyperlink ref="B640" r:id="rId635" display="https://my.zakupki.prom.ua/remote/dispatcher/state_purchase_view/34686462"/>
    <hyperlink ref="B641" r:id="rId636" display="https://my.zakupki.prom.ua/remote/dispatcher/state_purchase_view/34686433"/>
    <hyperlink ref="B642" r:id="rId637" display="https://my.zakupki.prom.ua/remote/dispatcher/state_purchase_view/34686420"/>
    <hyperlink ref="B643" r:id="rId638" display="https://my.zakupki.prom.ua/remote/dispatcher/state_purchase_view/34686402"/>
    <hyperlink ref="B644" r:id="rId639" display="https://my.zakupki.prom.ua/remote/dispatcher/state_purchase_view/34686383"/>
    <hyperlink ref="B645" r:id="rId640" display="https://my.zakupki.prom.ua/remote/dispatcher/state_purchase_view/34686373"/>
    <hyperlink ref="B646" r:id="rId641" display="https://my.zakupki.prom.ua/remote/dispatcher/state_purchase_view/34686369"/>
    <hyperlink ref="B647" r:id="rId642" display="https://my.zakupki.prom.ua/remote/dispatcher/state_purchase_view/34686330"/>
    <hyperlink ref="B648" r:id="rId643" display="https://my.zakupki.prom.ua/remote/dispatcher/state_purchase_view/34686306"/>
    <hyperlink ref="B649" r:id="rId644" display="https://my.zakupki.prom.ua/remote/dispatcher/state_purchase_view/34686248"/>
    <hyperlink ref="B650" r:id="rId645" display="https://my.zakupki.prom.ua/remote/dispatcher/state_purchase_view/34686065"/>
    <hyperlink ref="B651" r:id="rId646" display="https://my.zakupki.prom.ua/remote/dispatcher/state_purchase_view/34686050"/>
    <hyperlink ref="B652" r:id="rId647" display="https://my.zakupki.prom.ua/remote/dispatcher/state_purchase_view/34686047"/>
    <hyperlink ref="B653" r:id="rId648" display="https://my.zakupki.prom.ua/remote/dispatcher/state_purchase_view/34686044"/>
    <hyperlink ref="B654" r:id="rId649" display="https://my.zakupki.prom.ua/remote/dispatcher/state_purchase_view/34686040"/>
    <hyperlink ref="B655" r:id="rId650" display="https://my.zakupki.prom.ua/remote/dispatcher/state_purchase_view/34686037"/>
    <hyperlink ref="B656" r:id="rId651" display="https://my.zakupki.prom.ua/remote/dispatcher/state_purchase_view/34685979"/>
    <hyperlink ref="B657" r:id="rId652" display="https://my.zakupki.prom.ua/remote/dispatcher/state_purchase_view/34685952"/>
    <hyperlink ref="B658" r:id="rId653" display="https://my.zakupki.prom.ua/remote/dispatcher/state_purchase_view/34685923"/>
    <hyperlink ref="B659" r:id="rId654" display="https://my.zakupki.prom.ua/remote/dispatcher/state_purchase_view/34685922"/>
    <hyperlink ref="B660" r:id="rId655" display="https://my.zakupki.prom.ua/remote/dispatcher/state_purchase_view/34679555"/>
    <hyperlink ref="B661" r:id="rId656" display="https://my.zakupki.prom.ua/remote/dispatcher/state_purchase_lot_view/740673"/>
    <hyperlink ref="B662" r:id="rId657" display="https://my.zakupki.prom.ua/remote/dispatcher/state_purchase_lot_view/740674"/>
    <hyperlink ref="B663" r:id="rId658" display="https://my.zakupki.prom.ua/remote/dispatcher/state_purchase_lot_view/740675"/>
    <hyperlink ref="B664" r:id="rId659" display="https://my.zakupki.prom.ua/remote/dispatcher/state_purchase_lot_view/740676"/>
    <hyperlink ref="B665" r:id="rId660" display="https://my.zakupki.prom.ua/remote/dispatcher/state_purchase_lot_view/740677"/>
    <hyperlink ref="B666" r:id="rId661" display="https://my.zakupki.prom.ua/remote/dispatcher/state_purchase_lot_view/740678"/>
    <hyperlink ref="B667" r:id="rId662" display="https://my.zakupki.prom.ua/remote/dispatcher/state_purchase_lot_view/740679"/>
    <hyperlink ref="B668" r:id="rId663" display="https://my.zakupki.prom.ua/remote/dispatcher/state_purchase_lot_view/740680"/>
    <hyperlink ref="B669" r:id="rId664" display="https://my.zakupki.prom.ua/remote/dispatcher/state_purchase_lot_view/740681"/>
    <hyperlink ref="B670" r:id="rId665" display="https://my.zakupki.prom.ua/remote/dispatcher/state_purchase_lot_view/740682"/>
    <hyperlink ref="B671" r:id="rId666" display="https://my.zakupki.prom.ua/remote/dispatcher/state_purchase_view/34685875"/>
    <hyperlink ref="B672" r:id="rId667" display="https://my.zakupki.prom.ua/remote/dispatcher/state_purchase_view/34685847"/>
    <hyperlink ref="B673" r:id="rId668" display="https://my.zakupki.prom.ua/remote/dispatcher/state_purchase_view/34685802"/>
    <hyperlink ref="B674" r:id="rId669" display="https://my.zakupki.prom.ua/remote/dispatcher/state_purchase_view/34685775"/>
    <hyperlink ref="B675" r:id="rId670" display="https://my.zakupki.prom.ua/remote/dispatcher/state_purchase_view/34685761"/>
    <hyperlink ref="B676" r:id="rId671" display="https://my.zakupki.prom.ua/remote/dispatcher/state_purchase_view/34685758"/>
    <hyperlink ref="B677" r:id="rId672" display="https://my.zakupki.prom.ua/remote/dispatcher/state_purchase_view/34685748"/>
    <hyperlink ref="B678" r:id="rId673" display="https://my.zakupki.prom.ua/remote/dispatcher/state_purchase_view/34685738"/>
    <hyperlink ref="B679" r:id="rId674" display="https://my.zakupki.prom.ua/remote/dispatcher/state_purchase_view/34685717"/>
    <hyperlink ref="B680" r:id="rId675" display="https://my.zakupki.prom.ua/remote/dispatcher/state_purchase_view/34685708"/>
    <hyperlink ref="B681" r:id="rId676" display="https://my.zakupki.prom.ua/remote/dispatcher/state_purchase_view/34685694"/>
    <hyperlink ref="B682" r:id="rId677" display="https://my.zakupki.prom.ua/remote/dispatcher/state_purchase_view/34685693"/>
    <hyperlink ref="B683" r:id="rId678" display="https://my.zakupki.prom.ua/remote/dispatcher/state_purchase_view/34685652"/>
    <hyperlink ref="B684" r:id="rId679" display="https://my.zakupki.prom.ua/remote/dispatcher/state_purchase_view/34685645"/>
    <hyperlink ref="B685" r:id="rId680" display="https://my.zakupki.prom.ua/remote/dispatcher/state_purchase_view/34685642"/>
    <hyperlink ref="B686" r:id="rId681" display="https://my.zakupki.prom.ua/remote/dispatcher/state_purchase_view/34685643"/>
    <hyperlink ref="B687" r:id="rId682" display="https://my.zakupki.prom.ua/remote/dispatcher/state_purchase_view/34685634"/>
    <hyperlink ref="B688" r:id="rId683" display="https://my.zakupki.prom.ua/remote/dispatcher/state_purchase_view/34685628"/>
    <hyperlink ref="B689" r:id="rId684" display="https://my.zakupki.prom.ua/remote/dispatcher/state_purchase_view/34685631"/>
    <hyperlink ref="B690" r:id="rId685" display="https://my.zakupki.prom.ua/remote/dispatcher/state_purchase_view/34685629"/>
    <hyperlink ref="B691" r:id="rId686" display="https://my.zakupki.prom.ua/remote/dispatcher/state_purchase_view/34685626"/>
    <hyperlink ref="B692" r:id="rId687" display="https://my.zakupki.prom.ua/remote/dispatcher/state_purchase_view/34685625"/>
    <hyperlink ref="B693" r:id="rId688" display="https://my.zakupki.prom.ua/remote/dispatcher/state_purchase_view/34685611"/>
    <hyperlink ref="B694" r:id="rId689" display="https://my.zakupki.prom.ua/remote/dispatcher/state_purchase_view/34685613"/>
    <hyperlink ref="B695" r:id="rId690" display="https://my.zakupki.prom.ua/remote/dispatcher/state_purchase_view/34685610"/>
    <hyperlink ref="B696" r:id="rId691" display="https://my.zakupki.prom.ua/remote/dispatcher/state_purchase_view/34685311"/>
    <hyperlink ref="B697" r:id="rId692" display="https://my.zakupki.prom.ua/remote/dispatcher/state_purchase_view/34685309"/>
    <hyperlink ref="B698" r:id="rId693" display="https://my.zakupki.prom.ua/remote/dispatcher/state_purchase_view/34685259"/>
    <hyperlink ref="B699" r:id="rId694" display="https://my.zakupki.prom.ua/remote/dispatcher/state_purchase_view/34685251"/>
    <hyperlink ref="B700" r:id="rId695" display="https://my.zakupki.prom.ua/remote/dispatcher/state_purchase_view/34685236"/>
    <hyperlink ref="B701" r:id="rId696" display="https://my.zakupki.prom.ua/remote/dispatcher/state_purchase_lot_view/740670"/>
    <hyperlink ref="B702" r:id="rId697" display="https://my.zakupki.prom.ua/remote/dispatcher/state_purchase_lot_view/740671"/>
    <hyperlink ref="B703" r:id="rId698" display="https://my.zakupki.prom.ua/remote/dispatcher/state_purchase_lot_view/740672"/>
    <hyperlink ref="B704" r:id="rId699" display="https://my.zakupki.prom.ua/remote/dispatcher/state_purchase_view/34685228"/>
    <hyperlink ref="B705" r:id="rId700" display="https://my.zakupki.prom.ua/remote/dispatcher/state_purchase_view/34685212"/>
    <hyperlink ref="B706" r:id="rId701" display="https://my.zakupki.prom.ua/remote/dispatcher/state_purchase_view/34685188"/>
    <hyperlink ref="B707" r:id="rId702" display="https://my.zakupki.prom.ua/remote/dispatcher/state_purchase_view/34685187"/>
    <hyperlink ref="B708" r:id="rId703" display="https://my.zakupki.prom.ua/remote/dispatcher/state_purchase_view/34685185"/>
    <hyperlink ref="B709" r:id="rId704" display="https://my.zakupki.prom.ua/remote/dispatcher/state_purchase_view/34685170"/>
    <hyperlink ref="B710" r:id="rId705" display="https://my.zakupki.prom.ua/remote/dispatcher/state_purchase_view/34685145"/>
    <hyperlink ref="B711" r:id="rId706" display="https://my.zakupki.prom.ua/remote/dispatcher/state_purchase_view/34685141"/>
    <hyperlink ref="B712" r:id="rId707" display="https://my.zakupki.prom.ua/remote/dispatcher/state_purchase_view/34685108"/>
    <hyperlink ref="B713" r:id="rId708" display="https://my.zakupki.prom.ua/remote/dispatcher/state_purchase_view/34685103"/>
    <hyperlink ref="B714" r:id="rId709" display="https://my.zakupki.prom.ua/remote/dispatcher/state_purchase_view/34685099"/>
    <hyperlink ref="B715" r:id="rId710" display="https://my.zakupki.prom.ua/remote/dispatcher/state_purchase_view/34685078"/>
    <hyperlink ref="B716" r:id="rId711" display="https://my.zakupki.prom.ua/remote/dispatcher/state_purchase_view/34685063"/>
    <hyperlink ref="B717" r:id="rId712" display="https://my.zakupki.prom.ua/remote/dispatcher/state_purchase_view/34685009"/>
    <hyperlink ref="B718" r:id="rId713" display="https://my.zakupki.prom.ua/remote/dispatcher/state_purchase_view/34684626"/>
    <hyperlink ref="B719" r:id="rId714" display="https://my.zakupki.prom.ua/remote/dispatcher/state_purchase_view/34684954"/>
    <hyperlink ref="B720" r:id="rId715" display="https://my.zakupki.prom.ua/remote/dispatcher/state_purchase_view/34684953"/>
    <hyperlink ref="B721" r:id="rId716" display="https://my.zakupki.prom.ua/remote/dispatcher/state_purchase_view/34684951"/>
    <hyperlink ref="B722" r:id="rId717" display="https://my.zakupki.prom.ua/remote/dispatcher/state_purchase_lot_view/740668"/>
    <hyperlink ref="B723" r:id="rId718" display="https://my.zakupki.prom.ua/remote/dispatcher/state_purchase_lot_view/740669"/>
    <hyperlink ref="B724" r:id="rId719" display="https://my.zakupki.prom.ua/remote/dispatcher/state_purchase_view/34684903"/>
    <hyperlink ref="B725" r:id="rId720" display="https://my.zakupki.prom.ua/remote/dispatcher/state_purchase_view/34684893"/>
    <hyperlink ref="B726" r:id="rId721" display="https://my.zakupki.prom.ua/remote/dispatcher/state_purchase_view/34684796"/>
    <hyperlink ref="B727" r:id="rId722" display="https://my.zakupki.prom.ua/remote/dispatcher/state_purchase_view/34684792"/>
    <hyperlink ref="B728" r:id="rId723" display="https://my.zakupki.prom.ua/remote/dispatcher/state_purchase_view/34684789"/>
    <hyperlink ref="B729" r:id="rId724" display="https://my.zakupki.prom.ua/remote/dispatcher/state_purchase_view/34683971"/>
    <hyperlink ref="B730" r:id="rId725" display="https://my.zakupki.prom.ua/remote/dispatcher/state_purchase_view/34684772"/>
    <hyperlink ref="B731" r:id="rId726" display="https://my.zakupki.prom.ua/remote/dispatcher/state_purchase_view/34684763"/>
    <hyperlink ref="B732" r:id="rId727" display="https://my.zakupki.prom.ua/remote/dispatcher/state_purchase_view/34684760"/>
    <hyperlink ref="B733" r:id="rId728" display="https://my.zakupki.prom.ua/remote/dispatcher/state_purchase_view/34684744"/>
    <hyperlink ref="B734" r:id="rId729" display="https://my.zakupki.prom.ua/remote/dispatcher/state_purchase_view/34684673"/>
    <hyperlink ref="B735" r:id="rId730" display="https://my.zakupki.prom.ua/remote/dispatcher/state_purchase_view/34684659"/>
    <hyperlink ref="B736" r:id="rId731" display="https://my.zakupki.prom.ua/remote/dispatcher/state_purchase_view/34684653"/>
    <hyperlink ref="B737" r:id="rId732" display="https://my.zakupki.prom.ua/remote/dispatcher/state_purchase_view/34684472"/>
    <hyperlink ref="B738" r:id="rId733" display="https://my.zakupki.prom.ua/remote/dispatcher/state_purchase_view/34684439"/>
    <hyperlink ref="B739" r:id="rId734" display="https://my.zakupki.prom.ua/remote/dispatcher/state_purchase_view/34684436"/>
    <hyperlink ref="B740" r:id="rId735" display="https://my.zakupki.prom.ua/remote/dispatcher/state_purchase_view/34684435"/>
    <hyperlink ref="B741" r:id="rId736" display="https://my.zakupki.prom.ua/remote/dispatcher/state_purchase_view/34684425"/>
    <hyperlink ref="B742" r:id="rId737" display="https://my.zakupki.prom.ua/remote/dispatcher/state_purchase_view/34684395"/>
    <hyperlink ref="B743" r:id="rId738" display="https://my.zakupki.prom.ua/remote/dispatcher/state_purchase_view/34684378"/>
    <hyperlink ref="B744" r:id="rId739" display="https://my.zakupki.prom.ua/remote/dispatcher/state_purchase_view/34684369"/>
    <hyperlink ref="B745" r:id="rId740" display="https://my.zakupki.prom.ua/remote/dispatcher/state_purchase_view/34684287"/>
    <hyperlink ref="B746" r:id="rId741" display="https://my.zakupki.prom.ua/remote/dispatcher/state_purchase_view/34684280"/>
    <hyperlink ref="B747" r:id="rId742" display="https://my.zakupki.prom.ua/remote/dispatcher/state_purchase_view/34684269"/>
    <hyperlink ref="B748" r:id="rId743" display="https://my.zakupki.prom.ua/remote/dispatcher/state_purchase_view/34684259"/>
    <hyperlink ref="B749" r:id="rId744" display="https://my.zakupki.prom.ua/remote/dispatcher/state_purchase_view/34683055"/>
    <hyperlink ref="B750" r:id="rId745" display="https://my.zakupki.prom.ua/remote/dispatcher/state_purchase_view/34684215"/>
    <hyperlink ref="B751" r:id="rId746" display="https://my.zakupki.prom.ua/remote/dispatcher/state_purchase_view/34684184"/>
    <hyperlink ref="B752" r:id="rId747" display="https://my.zakupki.prom.ua/remote/dispatcher/state_purchase_view/34684170"/>
    <hyperlink ref="B753" r:id="rId748" display="https://my.zakupki.prom.ua/remote/dispatcher/state_purchase_view/34684161"/>
    <hyperlink ref="B754" r:id="rId749" display="https://my.zakupki.prom.ua/remote/dispatcher/state_purchase_view/34684162"/>
    <hyperlink ref="B755" r:id="rId750" display="https://my.zakupki.prom.ua/remote/dispatcher/state_purchase_view/34684157"/>
    <hyperlink ref="B756" r:id="rId751" display="https://my.zakupki.prom.ua/remote/dispatcher/state_purchase_lot_view/740663"/>
    <hyperlink ref="B757" r:id="rId752" display="https://my.zakupki.prom.ua/remote/dispatcher/state_purchase_view/34684136"/>
    <hyperlink ref="B758" r:id="rId753" display="https://my.zakupki.prom.ua/remote/dispatcher/state_purchase_view/34684120"/>
    <hyperlink ref="B759" r:id="rId754" display="https://my.zakupki.prom.ua/remote/dispatcher/state_purchase_view/34684110"/>
    <hyperlink ref="B760" r:id="rId755" display="https://my.zakupki.prom.ua/remote/dispatcher/state_purchase_view/34684115"/>
    <hyperlink ref="B761" r:id="rId756" display="https://my.zakupki.prom.ua/remote/dispatcher/state_purchase_view/34684083"/>
    <hyperlink ref="B762" r:id="rId757" display="https://my.zakupki.prom.ua/remote/dispatcher/state_purchase_view/34684062"/>
    <hyperlink ref="B763" r:id="rId758" display="https://my.zakupki.prom.ua/remote/dispatcher/state_purchase_view/34684050"/>
    <hyperlink ref="B764" r:id="rId759" display="https://my.zakupki.prom.ua/remote/dispatcher/state_purchase_lot_view/740660"/>
    <hyperlink ref="B765" r:id="rId760" display="https://my.zakupki.prom.ua/remote/dispatcher/state_purchase_lot_view/740661"/>
    <hyperlink ref="B766" r:id="rId761" display="https://my.zakupki.prom.ua/remote/dispatcher/state_purchase_view/34684035"/>
    <hyperlink ref="B767" r:id="rId762" display="https://my.zakupki.prom.ua/remote/dispatcher/state_purchase_view/34684018"/>
    <hyperlink ref="B768" r:id="rId763" display="https://my.zakupki.prom.ua/remote/dispatcher/state_purchase_view/34684002"/>
    <hyperlink ref="B769" r:id="rId764" display="https://my.zakupki.prom.ua/remote/dispatcher/state_purchase_view/34683973"/>
    <hyperlink ref="B770" r:id="rId765" display="https://my.zakupki.prom.ua/remote/dispatcher/state_purchase_view/34683956"/>
    <hyperlink ref="B771" r:id="rId766" display="https://my.zakupki.prom.ua/remote/dispatcher/state_purchase_view/34683923"/>
    <hyperlink ref="B772" r:id="rId767" display="https://my.zakupki.prom.ua/remote/dispatcher/state_purchase_view/34683900"/>
    <hyperlink ref="B773" r:id="rId768" display="https://my.zakupki.prom.ua/remote/dispatcher/state_purchase_view/34679578"/>
    <hyperlink ref="B774" r:id="rId769" display="https://my.zakupki.prom.ua/remote/dispatcher/state_purchase_view/34683877"/>
    <hyperlink ref="B775" r:id="rId770" display="https://my.zakupki.prom.ua/remote/dispatcher/state_purchase_view/34679971"/>
    <hyperlink ref="B776" r:id="rId771" display="https://my.zakupki.prom.ua/remote/dispatcher/state_purchase_view/34683847"/>
    <hyperlink ref="B777" r:id="rId772" display="https://my.zakupki.prom.ua/remote/dispatcher/state_purchase_view/34683845"/>
    <hyperlink ref="B778" r:id="rId773" display="https://my.zakupki.prom.ua/remote/dispatcher/state_purchase_view/34683839"/>
    <hyperlink ref="B779" r:id="rId774" display="https://my.zakupki.prom.ua/remote/dispatcher/state_purchase_view/34683137"/>
    <hyperlink ref="B780" r:id="rId775" display="https://my.zakupki.prom.ua/remote/dispatcher/state_purchase_view/34683499"/>
    <hyperlink ref="B781" r:id="rId776" display="https://my.zakupki.prom.ua/remote/dispatcher/state_purchase_view/34683495"/>
    <hyperlink ref="B782" r:id="rId777" display="https://my.zakupki.prom.ua/remote/dispatcher/state_purchase_view/34683459"/>
    <hyperlink ref="B783" r:id="rId778" display="https://my.zakupki.prom.ua/remote/dispatcher/state_purchase_view/34683457"/>
    <hyperlink ref="B784" r:id="rId779" display="https://my.zakupki.prom.ua/remote/dispatcher/state_purchase_view/34683441"/>
    <hyperlink ref="B785" r:id="rId780" display="https://my.zakupki.prom.ua/remote/dispatcher/state_purchase_view/34683437"/>
    <hyperlink ref="B786" r:id="rId781" display="https://my.zakupki.prom.ua/remote/dispatcher/state_purchase_view/34683429"/>
    <hyperlink ref="B787" r:id="rId782" display="https://my.zakupki.prom.ua/remote/dispatcher/state_purchase_view/34683400"/>
    <hyperlink ref="B788" r:id="rId783" display="https://my.zakupki.prom.ua/remote/dispatcher/state_purchase_view/34683398"/>
    <hyperlink ref="B789" r:id="rId784" display="https://my.zakupki.prom.ua/remote/dispatcher/state_purchase_view/34683394"/>
    <hyperlink ref="B790" r:id="rId785" display="https://my.zakupki.prom.ua/remote/dispatcher/state_purchase_view/34683376"/>
    <hyperlink ref="B791" r:id="rId786" display="https://my.zakupki.prom.ua/remote/dispatcher/state_purchase_view/34683360"/>
    <hyperlink ref="B792" r:id="rId787" display="https://my.zakupki.prom.ua/remote/dispatcher/state_purchase_view/34683349"/>
    <hyperlink ref="B793" r:id="rId788" display="https://my.zakupki.prom.ua/remote/dispatcher/state_purchase_view/34683325"/>
    <hyperlink ref="B794" r:id="rId789" display="https://my.zakupki.prom.ua/remote/dispatcher/state_purchase_view/34683299"/>
    <hyperlink ref="B795" r:id="rId790" display="https://my.zakupki.prom.ua/remote/dispatcher/state_purchase_view/34683296"/>
    <hyperlink ref="B796" r:id="rId791" display="https://my.zakupki.prom.ua/remote/dispatcher/state_purchase_view/34683291"/>
    <hyperlink ref="B797" r:id="rId792" display="https://my.zakupki.prom.ua/remote/dispatcher/state_purchase_view/34683280"/>
    <hyperlink ref="B798" r:id="rId793" display="https://my.zakupki.prom.ua/remote/dispatcher/state_purchase_view/34683275"/>
    <hyperlink ref="B799" r:id="rId794" display="https://my.zakupki.prom.ua/remote/dispatcher/state_purchase_view/34683271"/>
    <hyperlink ref="B800" r:id="rId795" display="https://my.zakupki.prom.ua/remote/dispatcher/state_purchase_view/34683235"/>
    <hyperlink ref="B801" r:id="rId796" display="https://my.zakupki.prom.ua/remote/dispatcher/state_purchase_view/34681012"/>
    <hyperlink ref="B802" r:id="rId797" display="https://my.zakupki.prom.ua/remote/dispatcher/state_purchase_view/34683246"/>
    <hyperlink ref="B803" r:id="rId798" display="https://my.zakupki.prom.ua/remote/dispatcher/state_purchase_view/34683230"/>
    <hyperlink ref="B804" r:id="rId799" display="https://my.zakupki.prom.ua/remote/dispatcher/state_purchase_view/34683184"/>
    <hyperlink ref="B805" r:id="rId800" display="https://my.zakupki.prom.ua/remote/dispatcher/state_purchase_view/34683179"/>
    <hyperlink ref="B806" r:id="rId801" display="https://my.zakupki.prom.ua/remote/dispatcher/state_purchase_view/34683114"/>
    <hyperlink ref="B807" r:id="rId802" display="https://my.zakupki.prom.ua/remote/dispatcher/state_purchase_view/34683084"/>
    <hyperlink ref="B808" r:id="rId803" display="https://my.zakupki.prom.ua/remote/dispatcher/state_purchase_view/34683043"/>
    <hyperlink ref="B809" r:id="rId804" display="https://my.zakupki.prom.ua/remote/dispatcher/state_purchase_view/34683024"/>
    <hyperlink ref="B810" r:id="rId805" display="https://my.zakupki.prom.ua/remote/dispatcher/state_purchase_view/34683021"/>
    <hyperlink ref="B811" r:id="rId806" display="https://my.zakupki.prom.ua/remote/dispatcher/state_purchase_view/34683011"/>
    <hyperlink ref="B812" r:id="rId807" display="https://my.zakupki.prom.ua/remote/dispatcher/state_purchase_lot_view/740655"/>
    <hyperlink ref="B813" r:id="rId808" display="https://my.zakupki.prom.ua/remote/dispatcher/state_purchase_view/34682989"/>
    <hyperlink ref="B814" r:id="rId809" display="https://my.zakupki.prom.ua/remote/dispatcher/state_purchase_view/34682958"/>
    <hyperlink ref="B815" r:id="rId810" display="https://my.zakupki.prom.ua/remote/dispatcher/state_purchase_view/34682935"/>
    <hyperlink ref="B816" r:id="rId811" display="https://my.zakupki.prom.ua/remote/dispatcher/state_purchase_view/34682933"/>
    <hyperlink ref="B817" r:id="rId812" display="https://my.zakupki.prom.ua/remote/dispatcher/state_purchase_lot_view/740653"/>
    <hyperlink ref="B818" r:id="rId813" display="https://my.zakupki.prom.ua/remote/dispatcher/state_purchase_lot_view/740654"/>
    <hyperlink ref="B819" r:id="rId814" display="https://my.zakupki.prom.ua/remote/dispatcher/state_purchase_view/34682890"/>
    <hyperlink ref="B820" r:id="rId815" display="https://my.zakupki.prom.ua/remote/dispatcher/state_purchase_view/34682887"/>
    <hyperlink ref="B821" r:id="rId816" display="https://my.zakupki.prom.ua/remote/dispatcher/state_purchase_view/34682886"/>
    <hyperlink ref="B822" r:id="rId817" display="https://my.zakupki.prom.ua/remote/dispatcher/state_purchase_view/34682878"/>
    <hyperlink ref="B823" r:id="rId818" display="https://my.zakupki.prom.ua/remote/dispatcher/state_purchase_view/34682874"/>
    <hyperlink ref="B824" r:id="rId819" display="https://my.zakupki.prom.ua/remote/dispatcher/state_purchase_view/34682871"/>
    <hyperlink ref="B825" r:id="rId820" display="https://my.zakupki.prom.ua/remote/dispatcher/state_purchase_view/34682869"/>
    <hyperlink ref="B826" r:id="rId821" display="https://my.zakupki.prom.ua/remote/dispatcher/state_purchase_view/34682867"/>
    <hyperlink ref="B827" r:id="rId822" display="https://my.zakupki.prom.ua/remote/dispatcher/state_purchase_view/34682866"/>
    <hyperlink ref="B828" r:id="rId823" display="https://my.zakupki.prom.ua/remote/dispatcher/state_purchase_view/34682860"/>
    <hyperlink ref="B829" r:id="rId824" display="https://my.zakupki.prom.ua/remote/dispatcher/state_purchase_view/34682858"/>
    <hyperlink ref="B830" r:id="rId825" display="https://my.zakupki.prom.ua/remote/dispatcher/state_purchase_view/34682857"/>
    <hyperlink ref="B831" r:id="rId826" display="https://my.zakupki.prom.ua/remote/dispatcher/state_purchase_view/34682826"/>
    <hyperlink ref="B832" r:id="rId827" display="https://my.zakupki.prom.ua/remote/dispatcher/state_purchase_view/34682754"/>
    <hyperlink ref="B833" r:id="rId828" display="https://my.zakupki.prom.ua/remote/dispatcher/state_purchase_view/34682655"/>
    <hyperlink ref="B834" r:id="rId829" display="https://my.zakupki.prom.ua/remote/dispatcher/state_purchase_view/34682643"/>
    <hyperlink ref="B835" r:id="rId830" display="https://my.zakupki.prom.ua/remote/dispatcher/state_purchase_view/34682440"/>
    <hyperlink ref="B836" r:id="rId831" display="https://my.zakupki.prom.ua/remote/dispatcher/state_purchase_view/34682436"/>
    <hyperlink ref="B837" r:id="rId832" display="https://my.zakupki.prom.ua/remote/dispatcher/state_purchase_view/34682423"/>
    <hyperlink ref="B838" r:id="rId833" display="https://my.zakupki.prom.ua/remote/dispatcher/state_purchase_view/34682420"/>
    <hyperlink ref="B839" r:id="rId834" display="https://my.zakupki.prom.ua/remote/dispatcher/state_purchase_view/34659478"/>
    <hyperlink ref="B840" r:id="rId835" display="https://my.zakupki.prom.ua/remote/dispatcher/state_purchase_view/34682376"/>
    <hyperlink ref="B841" r:id="rId836" display="https://my.zakupki.prom.ua/remote/dispatcher/state_purchase_view/34682364"/>
    <hyperlink ref="B842" r:id="rId837" display="https://my.zakupki.prom.ua/remote/dispatcher/state_purchase_view/34682359"/>
    <hyperlink ref="B843" r:id="rId838" display="https://my.zakupki.prom.ua/remote/dispatcher/state_purchase_view/34682348"/>
    <hyperlink ref="B844" r:id="rId839" display="https://my.zakupki.prom.ua/remote/dispatcher/state_purchase_lot_view/740447"/>
    <hyperlink ref="B845" r:id="rId840" display="https://my.zakupki.prom.ua/remote/dispatcher/state_purchase_lot_view/740649"/>
    <hyperlink ref="B846" r:id="rId841" display="https://my.zakupki.prom.ua/remote/dispatcher/state_purchase_lot_view/740650"/>
    <hyperlink ref="B847" r:id="rId842" display="https://my.zakupki.prom.ua/remote/dispatcher/state_purchase_lot_view/740651"/>
    <hyperlink ref="B848" r:id="rId843" display="https://my.zakupki.prom.ua/remote/dispatcher/state_purchase_lot_view/740652"/>
    <hyperlink ref="B849" r:id="rId844" display="https://my.zakupki.prom.ua/remote/dispatcher/state_purchase_view/34682319"/>
    <hyperlink ref="B850" r:id="rId845" display="https://my.zakupki.prom.ua/remote/dispatcher/state_purchase_view/34682305"/>
    <hyperlink ref="B851" r:id="rId846" display="https://my.zakupki.prom.ua/remote/dispatcher/state_purchase_view/34682239"/>
    <hyperlink ref="B852" r:id="rId847" display="https://my.zakupki.prom.ua/remote/dispatcher/state_purchase_view/34682228"/>
    <hyperlink ref="B853" r:id="rId848" display="https://my.zakupki.prom.ua/remote/dispatcher/state_purchase_lot_view/740645"/>
    <hyperlink ref="B854" r:id="rId849" display="https://my.zakupki.prom.ua/remote/dispatcher/state_purchase_lot_view/740646"/>
    <hyperlink ref="B855" r:id="rId850" display="https://my.zakupki.prom.ua/remote/dispatcher/state_purchase_lot_view/740647"/>
    <hyperlink ref="B856" r:id="rId851" display="https://my.zakupki.prom.ua/remote/dispatcher/state_purchase_view/34682194"/>
    <hyperlink ref="B857" r:id="rId852" display="https://my.zakupki.prom.ua/remote/dispatcher/state_purchase_view/34682188"/>
    <hyperlink ref="B858" r:id="rId853" display="https://my.zakupki.prom.ua/remote/dispatcher/state_purchase_view/34682186"/>
    <hyperlink ref="B859" r:id="rId854" display="https://my.zakupki.prom.ua/remote/dispatcher/state_purchase_view/34682144"/>
    <hyperlink ref="B860" r:id="rId855" display="https://my.zakupki.prom.ua/remote/dispatcher/state_purchase_view/34682143"/>
    <hyperlink ref="B861" r:id="rId856" display="https://my.zakupki.prom.ua/remote/dispatcher/state_purchase_view/34682141"/>
    <hyperlink ref="B862" r:id="rId857" display="https://my.zakupki.prom.ua/remote/dispatcher/state_purchase_view/34682135"/>
    <hyperlink ref="B863" r:id="rId858" display="https://my.zakupki.prom.ua/remote/dispatcher/state_purchase_view/34682104"/>
    <hyperlink ref="B864" r:id="rId859" display="https://my.zakupki.prom.ua/remote/dispatcher/state_purchase_view/34682084"/>
    <hyperlink ref="B865" r:id="rId860" display="https://my.zakupki.prom.ua/remote/dispatcher/state_purchase_view/34679927"/>
    <hyperlink ref="B866" r:id="rId861" display="https://my.zakupki.prom.ua/remote/dispatcher/state_purchase_view/34682073"/>
    <hyperlink ref="B867" r:id="rId862" display="https://my.zakupki.prom.ua/remote/dispatcher/state_purchase_view/34682029"/>
    <hyperlink ref="B868" r:id="rId863" display="https://my.zakupki.prom.ua/remote/dispatcher/state_purchase_view/34682021"/>
    <hyperlink ref="B869" r:id="rId864" display="https://my.zakupki.prom.ua/remote/dispatcher/state_purchase_view/34682016"/>
    <hyperlink ref="B870" r:id="rId865" display="https://my.zakupki.prom.ua/remote/dispatcher/state_purchase_view/34682008"/>
    <hyperlink ref="B871" r:id="rId866" display="https://my.zakupki.prom.ua/remote/dispatcher/state_purchase_view/34681999"/>
    <hyperlink ref="B872" r:id="rId867" display="https://my.zakupki.prom.ua/remote/dispatcher/state_purchase_view/34679701"/>
    <hyperlink ref="B873" r:id="rId868" display="https://my.zakupki.prom.ua/remote/dispatcher/state_purchase_view/34681838"/>
    <hyperlink ref="B874" r:id="rId869" display="https://my.zakupki.prom.ua/remote/dispatcher/state_purchase_view/34681716"/>
    <hyperlink ref="B875" r:id="rId870" display="https://my.zakupki.prom.ua/remote/dispatcher/state_purchase_view/34681713"/>
    <hyperlink ref="B876" r:id="rId871" display="https://my.zakupki.prom.ua/remote/dispatcher/state_purchase_view/34681661"/>
    <hyperlink ref="B877" r:id="rId872" display="https://my.zakupki.prom.ua/remote/dispatcher/state_purchase_view/34675331"/>
    <hyperlink ref="B878" r:id="rId873" display="https://my.zakupki.prom.ua/remote/dispatcher/state_purchase_view/34681548"/>
    <hyperlink ref="B879" r:id="rId874" display="https://my.zakupki.prom.ua/remote/dispatcher/state_purchase_view/34681510"/>
    <hyperlink ref="B880" r:id="rId875" display="https://my.zakupki.prom.ua/remote/dispatcher/state_purchase_view/34681502"/>
    <hyperlink ref="B881" r:id="rId876" display="https://my.zakupki.prom.ua/remote/dispatcher/state_purchase_view/34681466"/>
    <hyperlink ref="B882" r:id="rId877" display="https://my.zakupki.prom.ua/remote/dispatcher/state_purchase_view/34681461"/>
    <hyperlink ref="B883" r:id="rId878" display="https://my.zakupki.prom.ua/remote/dispatcher/state_purchase_view/34681416"/>
    <hyperlink ref="B884" r:id="rId879" display="https://my.zakupki.prom.ua/remote/dispatcher/state_purchase_view/34681410"/>
    <hyperlink ref="B885" r:id="rId880" display="https://my.zakupki.prom.ua/remote/dispatcher/state_purchase_view/34681407"/>
    <hyperlink ref="B886" r:id="rId881" display="https://my.zakupki.prom.ua/remote/dispatcher/state_purchase_view/34681382"/>
    <hyperlink ref="B887" r:id="rId882" display="https://my.zakupki.prom.ua/remote/dispatcher/state_purchase_view/34681381"/>
    <hyperlink ref="B888" r:id="rId883" display="https://my.zakupki.prom.ua/remote/dispatcher/state_purchase_view/34681372"/>
    <hyperlink ref="B889" r:id="rId884" display="https://my.zakupki.prom.ua/remote/dispatcher/state_purchase_view/34681371"/>
    <hyperlink ref="B890" r:id="rId885" display="https://my.zakupki.prom.ua/remote/dispatcher/state_purchase_view/34681354"/>
    <hyperlink ref="B891" r:id="rId886" display="https://my.zakupki.prom.ua/remote/dispatcher/state_purchase_view/34681344"/>
    <hyperlink ref="B892" r:id="rId887" display="https://my.zakupki.prom.ua/remote/dispatcher/state_purchase_view/34681346"/>
    <hyperlink ref="B893" r:id="rId888" display="https://my.zakupki.prom.ua/remote/dispatcher/state_purchase_view/34681333"/>
    <hyperlink ref="B894" r:id="rId889" display="https://my.zakupki.prom.ua/remote/dispatcher/state_purchase_view/34681331"/>
    <hyperlink ref="B895" r:id="rId890" display="https://my.zakupki.prom.ua/remote/dispatcher/state_purchase_view/34681322"/>
    <hyperlink ref="B896" r:id="rId891" display="https://my.zakupki.prom.ua/remote/dispatcher/state_purchase_view/34681311"/>
    <hyperlink ref="B897" r:id="rId892" display="https://my.zakupki.prom.ua/remote/dispatcher/state_purchase_view/34681297"/>
    <hyperlink ref="B898" r:id="rId893" display="https://my.zakupki.prom.ua/remote/dispatcher/state_purchase_view/34681286"/>
    <hyperlink ref="B899" r:id="rId894" display="https://my.zakupki.prom.ua/remote/dispatcher/state_purchase_view/34681283"/>
    <hyperlink ref="B900" r:id="rId895" display="https://my.zakupki.prom.ua/remote/dispatcher/state_purchase_view/34681284"/>
    <hyperlink ref="B901" r:id="rId896" display="https://my.zakupki.prom.ua/remote/dispatcher/state_purchase_lot_view/740633"/>
    <hyperlink ref="B902" r:id="rId897" display="https://my.zakupki.prom.ua/remote/dispatcher/state_purchase_lot_view/740634"/>
    <hyperlink ref="B903" r:id="rId898" display="https://my.zakupki.prom.ua/remote/dispatcher/state_purchase_lot_view/740635"/>
    <hyperlink ref="B904" r:id="rId899" display="https://my.zakupki.prom.ua/remote/dispatcher/state_purchase_lot_view/740636"/>
    <hyperlink ref="B905" r:id="rId900" display="https://my.zakupki.prom.ua/remote/dispatcher/state_purchase_lot_view/740637"/>
    <hyperlink ref="B906" r:id="rId901" display="https://my.zakupki.prom.ua/remote/dispatcher/state_purchase_lot_view/740638"/>
    <hyperlink ref="B907" r:id="rId902" display="https://my.zakupki.prom.ua/remote/dispatcher/state_purchase_view/34681260"/>
    <hyperlink ref="B908" r:id="rId903" display="https://my.zakupki.prom.ua/remote/dispatcher/state_purchase_view/34681259"/>
    <hyperlink ref="B909" r:id="rId904" display="https://my.zakupki.prom.ua/remote/dispatcher/state_purchase_view/34681244"/>
    <hyperlink ref="B910" r:id="rId905" display="https://my.zakupki.prom.ua/remote/dispatcher/state_purchase_view/34681235"/>
    <hyperlink ref="B911" r:id="rId906" display="https://my.zakupki.prom.ua/remote/dispatcher/state_purchase_view/34681178"/>
    <hyperlink ref="B912" r:id="rId907" display="https://my.zakupki.prom.ua/remote/dispatcher/state_purchase_lot_view/740631"/>
    <hyperlink ref="B913" r:id="rId908" display="https://my.zakupki.prom.ua/remote/dispatcher/state_purchase_lot_view/740632"/>
    <hyperlink ref="B914" r:id="rId909" display="https://my.zakupki.prom.ua/remote/dispatcher/state_purchase_view/34681175"/>
    <hyperlink ref="B915" r:id="rId910" display="https://my.zakupki.prom.ua/remote/dispatcher/state_purchase_view/34681156"/>
    <hyperlink ref="B916" r:id="rId911" display="https://my.zakupki.prom.ua/remote/dispatcher/state_purchase_view/34681081"/>
    <hyperlink ref="B917" r:id="rId912" display="https://my.zakupki.prom.ua/remote/dispatcher/state_purchase_view/34681082"/>
    <hyperlink ref="B918" r:id="rId913" display="https://my.zakupki.prom.ua/remote/dispatcher/state_purchase_view/34681028"/>
    <hyperlink ref="B919" r:id="rId914" display="https://my.zakupki.prom.ua/remote/dispatcher/state_purchase_view/34681027"/>
    <hyperlink ref="B920" r:id="rId915" display="https://my.zakupki.prom.ua/remote/dispatcher/state_purchase_view/34681024"/>
    <hyperlink ref="B921" r:id="rId916" display="https://my.zakupki.prom.ua/remote/dispatcher/state_purchase_view/34681011"/>
    <hyperlink ref="B922" r:id="rId917" display="https://my.zakupki.prom.ua/remote/dispatcher/state_purchase_view/34680969"/>
    <hyperlink ref="B923" r:id="rId918" display="https://my.zakupki.prom.ua/remote/dispatcher/state_purchase_view/34680960"/>
    <hyperlink ref="B924" r:id="rId919" display="https://my.zakupki.prom.ua/remote/dispatcher/state_purchase_view/34680956"/>
    <hyperlink ref="B925" r:id="rId920" display="https://my.zakupki.prom.ua/remote/dispatcher/state_purchase_view/34680938"/>
    <hyperlink ref="B926" r:id="rId921" display="https://my.zakupki.prom.ua/remote/dispatcher/state_purchase_view/34680920"/>
    <hyperlink ref="B927" r:id="rId922" display="https://my.zakupki.prom.ua/remote/dispatcher/state_purchase_view/34680902"/>
    <hyperlink ref="B928" r:id="rId923" display="https://my.zakupki.prom.ua/remote/dispatcher/state_purchase_view/34680896"/>
    <hyperlink ref="B929" r:id="rId924" display="https://my.zakupki.prom.ua/remote/dispatcher/state_purchase_view/34680891"/>
    <hyperlink ref="B930" r:id="rId925" display="https://my.zakupki.prom.ua/remote/dispatcher/state_purchase_view/34680890"/>
    <hyperlink ref="B931" r:id="rId926" display="https://my.zakupki.prom.ua/remote/dispatcher/state_purchase_view/34680881"/>
    <hyperlink ref="B932" r:id="rId927" display="https://my.zakupki.prom.ua/remote/dispatcher/state_purchase_view/34680875"/>
    <hyperlink ref="B933" r:id="rId928" display="https://my.zakupki.prom.ua/remote/dispatcher/state_purchase_view/34680865"/>
    <hyperlink ref="B934" r:id="rId929" display="https://my.zakupki.prom.ua/remote/dispatcher/state_purchase_view/34680845"/>
    <hyperlink ref="B935" r:id="rId930" display="https://my.zakupki.prom.ua/remote/dispatcher/state_purchase_view/34680843"/>
    <hyperlink ref="B936" r:id="rId931" display="https://my.zakupki.prom.ua/remote/dispatcher/state_purchase_view/34680827"/>
    <hyperlink ref="B937" r:id="rId932" display="https://my.zakupki.prom.ua/remote/dispatcher/state_purchase_view/34680836"/>
    <hyperlink ref="B938" r:id="rId933" display="https://my.zakupki.prom.ua/remote/dispatcher/state_purchase_view/34680834"/>
    <hyperlink ref="B939" r:id="rId934" display="https://my.zakupki.prom.ua/remote/dispatcher/state_purchase_view/34680837"/>
    <hyperlink ref="B940" r:id="rId935" display="https://my.zakupki.prom.ua/remote/dispatcher/state_purchase_view/34680830"/>
    <hyperlink ref="B941" r:id="rId936" display="https://my.zakupki.prom.ua/remote/dispatcher/state_purchase_view/34680817"/>
    <hyperlink ref="B942" r:id="rId937" display="https://my.zakupki.prom.ua/remote/dispatcher/state_purchase_view/34680810"/>
    <hyperlink ref="B943" r:id="rId938" display="https://my.zakupki.prom.ua/remote/dispatcher/state_purchase_view/34680802"/>
    <hyperlink ref="B944" r:id="rId939" display="https://my.zakupki.prom.ua/remote/dispatcher/state_purchase_view/34680792"/>
    <hyperlink ref="B945" r:id="rId940" display="https://my.zakupki.prom.ua/remote/dispatcher/state_purchase_view/34680578"/>
    <hyperlink ref="B946" r:id="rId941" display="https://my.zakupki.prom.ua/remote/dispatcher/state_purchase_view/34680545"/>
    <hyperlink ref="B947" r:id="rId942" display="https://my.zakupki.prom.ua/remote/dispatcher/state_purchase_view/34680473"/>
    <hyperlink ref="B948" r:id="rId943" display="https://my.zakupki.prom.ua/remote/dispatcher/state_purchase_view/34680425"/>
    <hyperlink ref="B949" r:id="rId944" display="https://my.zakupki.prom.ua/remote/dispatcher/state_purchase_view/34680412"/>
    <hyperlink ref="B950" r:id="rId945" display="https://my.zakupki.prom.ua/remote/dispatcher/state_purchase_view/34666081"/>
    <hyperlink ref="B951" r:id="rId946" display="https://my.zakupki.prom.ua/remote/dispatcher/state_purchase_view/34680400"/>
    <hyperlink ref="B952" r:id="rId947" display="https://my.zakupki.prom.ua/remote/dispatcher/state_purchase_view/34680192"/>
    <hyperlink ref="B953" r:id="rId948" display="https://my.zakupki.prom.ua/remote/dispatcher/state_purchase_view/34679935"/>
    <hyperlink ref="B954" r:id="rId949" display="https://my.zakupki.prom.ua/remote/dispatcher/state_purchase_view/34680166"/>
    <hyperlink ref="B955" r:id="rId950" display="https://my.zakupki.prom.ua/remote/dispatcher/state_purchase_view/34680121"/>
    <hyperlink ref="B956" r:id="rId951" display="https://my.zakupki.prom.ua/remote/dispatcher/state_purchase_view/34680118"/>
    <hyperlink ref="B957" r:id="rId952" display="https://my.zakupki.prom.ua/remote/dispatcher/state_purchase_view/34680113"/>
    <hyperlink ref="B958" r:id="rId953" display="https://my.zakupki.prom.ua/remote/dispatcher/state_purchase_view/34680069"/>
    <hyperlink ref="B959" r:id="rId954" display="https://my.zakupki.prom.ua/remote/dispatcher/state_purchase_view/34680045"/>
    <hyperlink ref="B960" r:id="rId955" display="https://my.zakupki.prom.ua/remote/dispatcher/state_purchase_view/34680038"/>
    <hyperlink ref="B961" r:id="rId956" display="https://my.zakupki.prom.ua/remote/dispatcher/state_purchase_view/34679628"/>
    <hyperlink ref="B962" r:id="rId957" display="https://my.zakupki.prom.ua/remote/dispatcher/state_purchase_view/34679951"/>
    <hyperlink ref="B963" r:id="rId958" display="https://my.zakupki.prom.ua/remote/dispatcher/state_purchase_view/34679928"/>
    <hyperlink ref="B964" r:id="rId959" display="https://my.zakupki.prom.ua/remote/dispatcher/state_purchase_view/34679917"/>
    <hyperlink ref="B965" r:id="rId960" display="https://my.zakupki.prom.ua/remote/dispatcher/state_purchase_view/34679913"/>
    <hyperlink ref="B966" r:id="rId961" display="https://my.zakupki.prom.ua/remote/dispatcher/state_purchase_view/34679908"/>
    <hyperlink ref="B967" r:id="rId962" display="https://my.zakupki.prom.ua/remote/dispatcher/state_purchase_view/34679915"/>
    <hyperlink ref="B968" r:id="rId963" display="https://my.zakupki.prom.ua/remote/dispatcher/state_purchase_view/34679901"/>
    <hyperlink ref="B969" r:id="rId964" display="https://my.zakupki.prom.ua/remote/dispatcher/state_purchase_view/34679626"/>
    <hyperlink ref="B970" r:id="rId965" display="https://my.zakupki.prom.ua/remote/dispatcher/state_purchase_view/34679892"/>
    <hyperlink ref="B971" r:id="rId966" display="https://my.zakupki.prom.ua/remote/dispatcher/state_purchase_view/34679889"/>
    <hyperlink ref="B972" r:id="rId967" display="https://my.zakupki.prom.ua/remote/dispatcher/state_purchase_view/34679882"/>
    <hyperlink ref="B973" r:id="rId968" display="https://my.zakupki.prom.ua/remote/dispatcher/state_purchase_view/34679870"/>
    <hyperlink ref="B974" r:id="rId969" display="https://my.zakupki.prom.ua/remote/dispatcher/state_purchase_view/34679866"/>
    <hyperlink ref="B975" r:id="rId970" display="https://my.zakupki.prom.ua/remote/dispatcher/state_purchase_view/34679862"/>
    <hyperlink ref="B976" r:id="rId971" display="https://my.zakupki.prom.ua/remote/dispatcher/state_purchase_view/34679859"/>
    <hyperlink ref="B977" r:id="rId972" display="https://my.zakupki.prom.ua/remote/dispatcher/state_purchase_view/34679850"/>
    <hyperlink ref="B978" r:id="rId973" display="https://my.zakupki.prom.ua/remote/dispatcher/state_purchase_view/34679843"/>
    <hyperlink ref="B979" r:id="rId974" display="https://my.zakupki.prom.ua/remote/dispatcher/state_purchase_view/34679842"/>
    <hyperlink ref="B980" r:id="rId975" display="https://my.zakupki.prom.ua/remote/dispatcher/state_purchase_view/34679838"/>
    <hyperlink ref="B981" r:id="rId976" display="https://my.zakupki.prom.ua/remote/dispatcher/state_purchase_view/34679824"/>
    <hyperlink ref="B982" r:id="rId977" display="https://my.zakupki.prom.ua/remote/dispatcher/state_purchase_view/34679820"/>
    <hyperlink ref="B983" r:id="rId978" display="https://my.zakupki.prom.ua/remote/dispatcher/state_purchase_view/34679816"/>
    <hyperlink ref="B984" r:id="rId979" display="https://my.zakupki.prom.ua/remote/dispatcher/state_purchase_view/34679811"/>
    <hyperlink ref="B985" r:id="rId980" display="https://my.zakupki.prom.ua/remote/dispatcher/state_purchase_view/34679810"/>
    <hyperlink ref="B986" r:id="rId981" display="https://my.zakupki.prom.ua/remote/dispatcher/state_purchase_view/34679788"/>
    <hyperlink ref="B987" r:id="rId982" display="https://my.zakupki.prom.ua/remote/dispatcher/state_purchase_view/34679786"/>
    <hyperlink ref="B988" r:id="rId983" display="https://my.zakupki.prom.ua/remote/dispatcher/state_purchase_view/34679779"/>
    <hyperlink ref="B989" r:id="rId984" display="https://my.zakupki.prom.ua/remote/dispatcher/state_purchase_view/34679770"/>
    <hyperlink ref="B990" r:id="rId985" display="https://my.zakupki.prom.ua/remote/dispatcher/state_purchase_view/34679765"/>
    <hyperlink ref="B991" r:id="rId986" display="https://my.zakupki.prom.ua/remote/dispatcher/state_purchase_view/34679750"/>
    <hyperlink ref="B992" r:id="rId987" display="https://my.zakupki.prom.ua/remote/dispatcher/state_purchase_view/34679744"/>
    <hyperlink ref="B993" r:id="rId988" display="https://my.zakupki.prom.ua/remote/dispatcher/state_purchase_view/34679742"/>
    <hyperlink ref="B994" r:id="rId989" display="https://my.zakupki.prom.ua/remote/dispatcher/state_purchase_view/34679734"/>
    <hyperlink ref="B995" r:id="rId990" display="https://my.zakupki.prom.ua/remote/dispatcher/state_purchase_view/34679732"/>
    <hyperlink ref="B996" r:id="rId991" display="https://my.zakupki.prom.ua/remote/dispatcher/state_purchase_view/34679713"/>
    <hyperlink ref="B997" r:id="rId992" display="https://my.zakupki.prom.ua/remote/dispatcher/state_purchase_view/34679710"/>
    <hyperlink ref="B998" r:id="rId993" display="https://my.zakupki.prom.ua/remote/dispatcher/state_purchase_view/34679660"/>
    <hyperlink ref="B999" r:id="rId994" display="https://my.zakupki.prom.ua/remote/dispatcher/state_purchase_view/34679659"/>
    <hyperlink ref="B1000" r:id="rId995" display="https://my.zakupki.prom.ua/remote/dispatcher/state_purchase_view/34679649"/>
    <hyperlink ref="B1001" r:id="rId996" display="https://my.zakupki.prom.ua/remote/dispatcher/state_purchase_view/34679639"/>
    <hyperlink ref="B1002" r:id="rId997" display="https://my.zakupki.prom.ua/remote/dispatcher/state_purchase_view/34678849"/>
    <hyperlink ref="B1003" r:id="rId998" display="https://my.zakupki.prom.ua/remote/dispatcher/state_purchase_view/34679564"/>
    <hyperlink ref="B1004" r:id="rId999" display="https://my.zakupki.prom.ua/remote/dispatcher/state_purchase_view/34679536"/>
    <hyperlink ref="B1005" r:id="rId1000" display="https://my.zakupki.prom.ua/remote/dispatcher/state_purchase_view/34679528"/>
    <hyperlink ref="B1006" r:id="rId1001" display="https://my.zakupki.prom.ua/remote/dispatcher/state_purchase_view/34679397"/>
    <hyperlink ref="B1007" r:id="rId1002" display="https://my.zakupki.prom.ua/remote/dispatcher/state_purchase_view/34679489"/>
    <hyperlink ref="B1008" r:id="rId1003" display="https://my.zakupki.prom.ua/remote/dispatcher/state_purchase_view/34679478"/>
    <hyperlink ref="B1009" r:id="rId1004" display="https://my.zakupki.prom.ua/remote/dispatcher/state_purchase_view/34679467"/>
    <hyperlink ref="B1010" r:id="rId1005" display="https://my.zakupki.prom.ua/remote/dispatcher/state_purchase_view/34679150"/>
    <hyperlink ref="B1011" r:id="rId1006" display="https://my.zakupki.prom.ua/remote/dispatcher/state_purchase_view/34679453"/>
    <hyperlink ref="B1012" r:id="rId1007" display="https://my.zakupki.prom.ua/remote/dispatcher/state_purchase_view/34679447"/>
    <hyperlink ref="B1013" r:id="rId1008" display="https://my.zakupki.prom.ua/remote/dispatcher/state_purchase_view/34679439"/>
    <hyperlink ref="B1014" r:id="rId1009" display="https://my.zakupki.prom.ua/remote/dispatcher/state_purchase_view/34679402"/>
    <hyperlink ref="B1015" r:id="rId1010" display="https://my.zakupki.prom.ua/remote/dispatcher/state_purchase_view/34679400"/>
    <hyperlink ref="B1016" r:id="rId1011" display="https://my.zakupki.prom.ua/remote/dispatcher/state_purchase_view/34679395"/>
    <hyperlink ref="B1017" r:id="rId1012" display="https://my.zakupki.prom.ua/remote/dispatcher/state_purchase_view/34679403"/>
    <hyperlink ref="B1018" r:id="rId1013" display="https://my.zakupki.prom.ua/remote/dispatcher/state_purchase_view/34679387"/>
    <hyperlink ref="B1019" r:id="rId1014" display="https://my.zakupki.prom.ua/remote/dispatcher/state_purchase_view/34679390"/>
    <hyperlink ref="B1020" r:id="rId1015" display="https://my.zakupki.prom.ua/remote/dispatcher/state_purchase_view/34679386"/>
    <hyperlink ref="B1021" r:id="rId1016" display="https://my.zakupki.prom.ua/remote/dispatcher/state_purchase_view/34679389"/>
    <hyperlink ref="B1022" r:id="rId1017" display="https://my.zakupki.prom.ua/remote/dispatcher/state_purchase_view/34679381"/>
    <hyperlink ref="B1023" r:id="rId1018" display="https://my.zakupki.prom.ua/remote/dispatcher/state_purchase_view/34679368"/>
    <hyperlink ref="B1024" r:id="rId1019" display="https://my.zakupki.prom.ua/remote/dispatcher/state_purchase_lot_view/740621"/>
    <hyperlink ref="B1025" r:id="rId1020" display="https://my.zakupki.prom.ua/remote/dispatcher/state_purchase_lot_view/740622"/>
    <hyperlink ref="B1026" r:id="rId1021" display="https://my.zakupki.prom.ua/remote/dispatcher/state_purchase_lot_view/740623"/>
    <hyperlink ref="B1027" r:id="rId1022" display="https://my.zakupki.prom.ua/remote/dispatcher/state_purchase_view/34679345"/>
    <hyperlink ref="B1028" r:id="rId1023" display="https://my.zakupki.prom.ua/remote/dispatcher/state_purchase_lot_view/740619"/>
    <hyperlink ref="B1029" r:id="rId1024" display="https://my.zakupki.prom.ua/remote/dispatcher/state_purchase_lot_view/740620"/>
    <hyperlink ref="B1030" r:id="rId1025" display="https://my.zakupki.prom.ua/remote/dispatcher/state_purchase_lot_view/740618"/>
    <hyperlink ref="B1031" r:id="rId1026" display="https://my.zakupki.prom.ua/remote/dispatcher/state_purchase_view/34679327"/>
    <hyperlink ref="B1032" r:id="rId1027" display="https://my.zakupki.prom.ua/remote/dispatcher/state_purchase_view/34679321"/>
    <hyperlink ref="B1033" r:id="rId1028" display="https://my.zakupki.prom.ua/remote/dispatcher/state_purchase_view/34679301"/>
    <hyperlink ref="B1034" r:id="rId1029" display="https://my.zakupki.prom.ua/remote/dispatcher/state_purchase_view/34679156"/>
    <hyperlink ref="B1035" r:id="rId1030" display="https://my.zakupki.prom.ua/remote/dispatcher/state_purchase_view/34679153"/>
    <hyperlink ref="B1036" r:id="rId1031" display="https://my.zakupki.prom.ua/remote/dispatcher/state_purchase_view/34679124"/>
    <hyperlink ref="B1037" r:id="rId1032" display="https://my.zakupki.prom.ua/remote/dispatcher/state_purchase_view/34615780"/>
    <hyperlink ref="B1038" r:id="rId1033" display="https://my.zakupki.prom.ua/remote/dispatcher/state_purchase_view/34679066"/>
    <hyperlink ref="B1039" r:id="rId1034" display="https://my.zakupki.prom.ua/remote/dispatcher/state_purchase_view/34679064"/>
    <hyperlink ref="B1040" r:id="rId1035" display="https://my.zakupki.prom.ua/remote/dispatcher/state_purchase_view/34679061"/>
    <hyperlink ref="B1041" r:id="rId1036" display="https://my.zakupki.prom.ua/remote/dispatcher/state_purchase_view/34679054"/>
    <hyperlink ref="B1042" r:id="rId1037" display="https://my.zakupki.prom.ua/remote/dispatcher/state_purchase_view/34679049"/>
    <hyperlink ref="B1043" r:id="rId1038" display="https://my.zakupki.prom.ua/remote/dispatcher/state_purchase_lot_view/740611"/>
    <hyperlink ref="B1044" r:id="rId1039" display="https://my.zakupki.prom.ua/remote/dispatcher/state_purchase_lot_view/740612"/>
    <hyperlink ref="B1045" r:id="rId1040" display="https://my.zakupki.prom.ua/remote/dispatcher/state_purchase_lot_view/740613"/>
    <hyperlink ref="B1046" r:id="rId1041" display="https://my.zakupki.prom.ua/remote/dispatcher/state_purchase_lot_view/740614"/>
    <hyperlink ref="B1047" r:id="rId1042" display="https://my.zakupki.prom.ua/remote/dispatcher/state_purchase_lot_view/740615"/>
    <hyperlink ref="B1048" r:id="rId1043" display="https://my.zakupki.prom.ua/remote/dispatcher/state_purchase_lot_view/740616"/>
    <hyperlink ref="B1049" r:id="rId1044" display="https://my.zakupki.prom.ua/remote/dispatcher/state_purchase_lot_view/740617"/>
    <hyperlink ref="B1050" r:id="rId1045" display="https://my.zakupki.prom.ua/remote/dispatcher/state_purchase_view/34679014"/>
    <hyperlink ref="B1051" r:id="rId1046" display="https://my.zakupki.prom.ua/remote/dispatcher/state_purchase_view/34679015"/>
    <hyperlink ref="B1052" r:id="rId1047" display="https://my.zakupki.prom.ua/remote/dispatcher/state_purchase_view/34679004"/>
    <hyperlink ref="B1053" r:id="rId1048" display="https://my.zakupki.prom.ua/remote/dispatcher/state_purchase_view/34678997"/>
    <hyperlink ref="B1054" r:id="rId1049" display="https://my.zakupki.prom.ua/remote/dispatcher/state_purchase_view/34678985"/>
    <hyperlink ref="B1055" r:id="rId1050" display="https://my.zakupki.prom.ua/remote/dispatcher/state_purchase_view/34678978"/>
    <hyperlink ref="B1056" r:id="rId1051" display="https://my.zakupki.prom.ua/remote/dispatcher/state_purchase_view/34678953"/>
    <hyperlink ref="B1057" r:id="rId1052" display="https://my.zakupki.prom.ua/remote/dispatcher/state_purchase_view/34678949"/>
    <hyperlink ref="B1058" r:id="rId1053" display="https://my.zakupki.prom.ua/remote/dispatcher/state_purchase_view/34678946"/>
    <hyperlink ref="B1059" r:id="rId1054" display="https://my.zakupki.prom.ua/remote/dispatcher/state_purchase_view/34678944"/>
    <hyperlink ref="B1060" r:id="rId1055" display="https://my.zakupki.prom.ua/remote/dispatcher/state_purchase_view/34678938"/>
    <hyperlink ref="B1061" r:id="rId1056" display="https://my.zakupki.prom.ua/remote/dispatcher/state_purchase_view/34678898"/>
    <hyperlink ref="B1062" r:id="rId1057" display="https://my.zakupki.prom.ua/remote/dispatcher/state_purchase_view/34678928"/>
    <hyperlink ref="B1063" r:id="rId1058" display="https://my.zakupki.prom.ua/remote/dispatcher/state_purchase_view/34678929"/>
    <hyperlink ref="B1064" r:id="rId1059" display="https://my.zakupki.prom.ua/remote/dispatcher/state_purchase_view/34678923"/>
    <hyperlink ref="B1065" r:id="rId1060" display="https://my.zakupki.prom.ua/remote/dispatcher/state_purchase_view/34678917"/>
    <hyperlink ref="B1066" r:id="rId1061" display="https://my.zakupki.prom.ua/remote/dispatcher/state_purchase_view/34678914"/>
    <hyperlink ref="B1067" r:id="rId1062" display="https://my.zakupki.prom.ua/remote/dispatcher/state_purchase_view/34678904"/>
    <hyperlink ref="B1068" r:id="rId1063" display="https://my.zakupki.prom.ua/remote/dispatcher/state_purchase_view/34678873"/>
    <hyperlink ref="B1069" r:id="rId1064" display="https://my.zakupki.prom.ua/remote/dispatcher/state_purchase_view/34678883"/>
    <hyperlink ref="B1070" r:id="rId1065" display="https://my.zakupki.prom.ua/remote/dispatcher/state_purchase_view/34678865"/>
    <hyperlink ref="B1071" r:id="rId1066" display="https://my.zakupki.prom.ua/remote/dispatcher/state_purchase_view/34678864"/>
    <hyperlink ref="B1072" r:id="rId1067" display="https://my.zakupki.prom.ua/remote/dispatcher/state_purchase_view/34678863"/>
    <hyperlink ref="B1073" r:id="rId1068" display="https://my.zakupki.prom.ua/remote/dispatcher/state_purchase_view/34678824"/>
    <hyperlink ref="B1074" r:id="rId1069" display="https://my.zakupki.prom.ua/remote/dispatcher/state_purchase_view/34678817"/>
    <hyperlink ref="B1075" r:id="rId1070" display="https://my.zakupki.prom.ua/remote/dispatcher/state_purchase_view/34678812"/>
    <hyperlink ref="B1076" r:id="rId1071" display="https://my.zakupki.prom.ua/remote/dispatcher/state_purchase_view/34678778"/>
    <hyperlink ref="B1077" r:id="rId1072" display="https://my.zakupki.prom.ua/remote/dispatcher/state_purchase_view/34678774"/>
    <hyperlink ref="B1078" r:id="rId1073" display="https://my.zakupki.prom.ua/remote/dispatcher/state_purchase_view/34678754"/>
    <hyperlink ref="B1079" r:id="rId1074" display="https://my.zakupki.prom.ua/remote/dispatcher/state_purchase_view/34678744"/>
    <hyperlink ref="B1080" r:id="rId1075" display="https://my.zakupki.prom.ua/remote/dispatcher/state_purchase_view/34678748"/>
    <hyperlink ref="B1081" r:id="rId1076" display="https://my.zakupki.prom.ua/remote/dispatcher/state_purchase_lot_view/740592"/>
    <hyperlink ref="B1082" r:id="rId1077" display="https://my.zakupki.prom.ua/remote/dispatcher/state_purchase_lot_view/740593"/>
    <hyperlink ref="B1083" r:id="rId1078" display="https://my.zakupki.prom.ua/remote/dispatcher/state_purchase_lot_view/740594"/>
    <hyperlink ref="B1084" r:id="rId1079" display="https://my.zakupki.prom.ua/remote/dispatcher/state_purchase_lot_view/740595"/>
    <hyperlink ref="B1085" r:id="rId1080" display="https://my.zakupki.prom.ua/remote/dispatcher/state_purchase_lot_view/740596"/>
    <hyperlink ref="B1086" r:id="rId1081" display="https://my.zakupki.prom.ua/remote/dispatcher/state_purchase_lot_view/740597"/>
    <hyperlink ref="B1087" r:id="rId1082" display="https://my.zakupki.prom.ua/remote/dispatcher/state_purchase_lot_view/740598"/>
    <hyperlink ref="B1088" r:id="rId1083" display="https://my.zakupki.prom.ua/remote/dispatcher/state_purchase_lot_view/740599"/>
    <hyperlink ref="B1089" r:id="rId1084" display="https://my.zakupki.prom.ua/remote/dispatcher/state_purchase_lot_view/740600"/>
    <hyperlink ref="B1090" r:id="rId1085" display="https://my.zakupki.prom.ua/remote/dispatcher/state_purchase_lot_view/740601"/>
    <hyperlink ref="B1091" r:id="rId1086" display="https://my.zakupki.prom.ua/remote/dispatcher/state_purchase_lot_view/740602"/>
    <hyperlink ref="B1092" r:id="rId1087" display="https://my.zakupki.prom.ua/remote/dispatcher/state_purchase_lot_view/740603"/>
    <hyperlink ref="B1093" r:id="rId1088" display="https://my.zakupki.prom.ua/remote/dispatcher/state_purchase_lot_view/740604"/>
    <hyperlink ref="B1094" r:id="rId1089" display="https://my.zakupki.prom.ua/remote/dispatcher/state_purchase_lot_view/740605"/>
    <hyperlink ref="B1095" r:id="rId1090" display="https://my.zakupki.prom.ua/remote/dispatcher/state_purchase_lot_view/740606"/>
    <hyperlink ref="B1096" r:id="rId1091" display="https://my.zakupki.prom.ua/remote/dispatcher/state_purchase_lot_view/740607"/>
    <hyperlink ref="B1097" r:id="rId1092" display="https://my.zakupki.prom.ua/remote/dispatcher/state_purchase_lot_view/740608"/>
    <hyperlink ref="B1098" r:id="rId1093" display="https://my.zakupki.prom.ua/remote/dispatcher/state_purchase_lot_view/740609"/>
    <hyperlink ref="B1099" r:id="rId1094" display="https://my.zakupki.prom.ua/remote/dispatcher/state_purchase_lot_view/740589"/>
    <hyperlink ref="B1100" r:id="rId1095" display="https://my.zakupki.prom.ua/remote/dispatcher/state_purchase_lot_view/740590"/>
    <hyperlink ref="B1101" r:id="rId1096" display="https://my.zakupki.prom.ua/remote/dispatcher/state_purchase_lot_view/740591"/>
    <hyperlink ref="B1102" r:id="rId1097" display="https://my.zakupki.prom.ua/remote/dispatcher/state_purchase_view/34678671"/>
    <hyperlink ref="B1103" r:id="rId1098" display="https://my.zakupki.prom.ua/remote/dispatcher/state_purchase_lot_view/740576"/>
    <hyperlink ref="B1104" r:id="rId1099" display="https://my.zakupki.prom.ua/remote/dispatcher/state_purchase_lot_view/740577"/>
    <hyperlink ref="B1105" r:id="rId1100" display="https://my.zakupki.prom.ua/remote/dispatcher/state_purchase_lot_view/740578"/>
    <hyperlink ref="B1106" r:id="rId1101" display="https://my.zakupki.prom.ua/remote/dispatcher/state_purchase_lot_view/740579"/>
    <hyperlink ref="B1107" r:id="rId1102" display="https://my.zakupki.prom.ua/remote/dispatcher/state_purchase_lot_view/740580"/>
    <hyperlink ref="B1108" r:id="rId1103" display="https://my.zakupki.prom.ua/remote/dispatcher/state_purchase_lot_view/740581"/>
    <hyperlink ref="B1109" r:id="rId1104" display="https://my.zakupki.prom.ua/remote/dispatcher/state_purchase_lot_view/740582"/>
    <hyperlink ref="B1110" r:id="rId1105" display="https://my.zakupki.prom.ua/remote/dispatcher/state_purchase_lot_view/740583"/>
    <hyperlink ref="B1111" r:id="rId1106" display="https://my.zakupki.prom.ua/remote/dispatcher/state_purchase_lot_view/740584"/>
    <hyperlink ref="B1112" r:id="rId1107" display="https://my.zakupki.prom.ua/remote/dispatcher/state_purchase_lot_view/740585"/>
    <hyperlink ref="B1113" r:id="rId1108" display="https://my.zakupki.prom.ua/remote/dispatcher/state_purchase_lot_view/740586"/>
    <hyperlink ref="B1114" r:id="rId1109" display="https://my.zakupki.prom.ua/remote/dispatcher/state_purchase_lot_view/740587"/>
    <hyperlink ref="B1115" r:id="rId1110" display="https://my.zakupki.prom.ua/remote/dispatcher/state_purchase_lot_view/740588"/>
    <hyperlink ref="B1116" r:id="rId1111" display="https://my.zakupki.prom.ua/remote/dispatcher/state_purchase_view/34678712"/>
    <hyperlink ref="B1117" r:id="rId1112" display="https://my.zakupki.prom.ua/remote/dispatcher/state_purchase_view/34678709"/>
    <hyperlink ref="B1118" r:id="rId1113" display="https://my.zakupki.prom.ua/remote/dispatcher/state_purchase_view/34678699"/>
    <hyperlink ref="B1119" r:id="rId1114" display="https://my.zakupki.prom.ua/remote/dispatcher/state_purchase_view/34678577"/>
    <hyperlink ref="B1120" r:id="rId1115" display="https://my.zakupki.prom.ua/remote/dispatcher/state_purchase_view/34678572"/>
    <hyperlink ref="B1121" r:id="rId1116" display="https://my.zakupki.prom.ua/remote/dispatcher/state_purchase_view/34678522"/>
    <hyperlink ref="B1122" r:id="rId1117" display="https://my.zakupki.prom.ua/remote/dispatcher/state_purchase_view/34678484"/>
    <hyperlink ref="B1123" r:id="rId1118" display="https://my.zakupki.prom.ua/remote/dispatcher/state_purchase_view/34678464"/>
    <hyperlink ref="B1124" r:id="rId1119" display="https://my.zakupki.prom.ua/remote/dispatcher/state_purchase_view/34678443"/>
    <hyperlink ref="B1125" r:id="rId1120" display="https://my.zakupki.prom.ua/remote/dispatcher/state_purchase_view/34678415"/>
    <hyperlink ref="B1126" r:id="rId1121" display="https://my.zakupki.prom.ua/remote/dispatcher/state_purchase_view/34678404"/>
    <hyperlink ref="B1127" r:id="rId1122" display="https://my.zakupki.prom.ua/remote/dispatcher/state_purchase_view/34678248"/>
    <hyperlink ref="B1128" r:id="rId1123" display="https://my.zakupki.prom.ua/remote/dispatcher/state_purchase_view/34678243"/>
    <hyperlink ref="B1129" r:id="rId1124" display="https://my.zakupki.prom.ua/remote/dispatcher/state_purchase_view/34678211"/>
    <hyperlink ref="B1130" r:id="rId1125" display="https://my.zakupki.prom.ua/remote/dispatcher/state_purchase_view/34678204"/>
    <hyperlink ref="B1131" r:id="rId1126" display="https://my.zakupki.prom.ua/remote/dispatcher/state_purchase_lot_view/740565"/>
    <hyperlink ref="B1132" r:id="rId1127" display="https://my.zakupki.prom.ua/remote/dispatcher/state_purchase_lot_view/740566"/>
    <hyperlink ref="B1133" r:id="rId1128" display="https://my.zakupki.prom.ua/remote/dispatcher/state_purchase_view/34678177"/>
    <hyperlink ref="B1134" r:id="rId1129" display="https://my.zakupki.prom.ua/remote/dispatcher/state_purchase_view/34678179"/>
    <hyperlink ref="B1135" r:id="rId1130" display="https://my.zakupki.prom.ua/remote/dispatcher/state_purchase_view/34678178"/>
    <hyperlink ref="B1136" r:id="rId1131" display="https://my.zakupki.prom.ua/remote/dispatcher/state_purchase_view/34678176"/>
    <hyperlink ref="B1137" r:id="rId1132" display="https://my.zakupki.prom.ua/remote/dispatcher/state_purchase_lot_view/740564"/>
    <hyperlink ref="B1138" r:id="rId1133" display="https://my.zakupki.prom.ua/remote/dispatcher/state_purchase_view/34678137"/>
    <hyperlink ref="B1139" r:id="rId1134" display="https://my.zakupki.prom.ua/remote/dispatcher/state_purchase_view/34678132"/>
    <hyperlink ref="B1140" r:id="rId1135" display="https://my.zakupki.prom.ua/remote/dispatcher/state_purchase_view/34678133"/>
    <hyperlink ref="B1141" r:id="rId1136" display="https://my.zakupki.prom.ua/remote/dispatcher/state_purchase_view/34678060"/>
    <hyperlink ref="B1142" r:id="rId1137" display="https://my.zakupki.prom.ua/remote/dispatcher/state_purchase_view/34678062"/>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Unknown</dc:creator>
  <cp:lastModifiedBy>Zoo-1</cp:lastModifiedBy>
  <dcterms:created xsi:type="dcterms:W3CDTF">2022-02-01T14:55:50Z</dcterms:created>
  <dcterms:modified xsi:type="dcterms:W3CDTF">2022-02-01T11:57:53Z</dcterms:modified>
</cp:coreProperties>
</file>