
<file path=[Content_Types].xml><?xml version="1.0" encoding="utf-8"?>
<Types xmlns="http://schemas.openxmlformats.org/package/2006/content-types">
  <Override PartName="/xl/revisions/revisionLog112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111111.xml" ContentType="application/vnd.openxmlformats-officedocument.spreadsheetml.revisionLog+xml"/>
  <Override PartName="/xl/revisions/revisionLog1122111.xml" ContentType="application/vnd.openxmlformats-officedocument.spreadsheetml.revisionLog+xml"/>
  <Override PartName="/xl/revisions/revisionLog11412.xml" ContentType="application/vnd.openxmlformats-officedocument.spreadsheetml.revisionLog+xml"/>
  <Override PartName="/xl/externalLinks/externalLink9.xml" ContentType="application/vnd.openxmlformats-officedocument.spreadsheetml.externalLink+xml"/>
  <Override PartName="/xl/styles.xml" ContentType="application/vnd.openxmlformats-officedocument.spreadsheetml.styles+xml"/>
  <Override PartName="/xl/revisions/revisionLog141111.xml" ContentType="application/vnd.openxmlformats-officedocument.spreadsheetml.revisionLog+xml"/>
  <Override PartName="/xl/worksheets/sheet7.xml" ContentType="application/vnd.openxmlformats-officedocument.spreadsheetml.worksheet+xml"/>
  <Override PartName="/xl/externalLinks/externalLink27.xml" ContentType="application/vnd.openxmlformats-officedocument.spreadsheetml.externalLink+xml"/>
  <Override PartName="/xl/revisions/revisionLog114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1721.xml" ContentType="application/vnd.openxmlformats-officedocument.spreadsheetml.revisionLog+xml"/>
  <Override PartName="/xl/revisions/revisionLog11211.xml" ContentType="application/vnd.openxmlformats-officedocument.spreadsheetml.revisionLog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2111.xml" ContentType="application/vnd.openxmlformats-officedocument.spreadsheetml.revisionLog+xml"/>
  <Override PartName="/xl/revisions/revisionLog132.xml" ContentType="application/vnd.openxmlformats-officedocument.spreadsheetml.revisionLog+xml"/>
  <Override PartName="/xl/worksheets/sheet3.xml" ContentType="application/vnd.openxmlformats-officedocument.spreadsheetml.worksheet+xml"/>
  <Override PartName="/xl/externalLinks/externalLink23.xml" ContentType="application/vnd.openxmlformats-officedocument.spreadsheetml.externalLink+xml"/>
  <Override PartName="/xl/revisions/revisionLog110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13112.xml" ContentType="application/vnd.openxmlformats-officedocument.spreadsheetml.revisionLog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30.xml" ContentType="application/vnd.openxmlformats-officedocument.spreadsheetml.externalLink+xml"/>
  <Override PartName="/xl/revisions/revisionLog12.xml" ContentType="application/vnd.openxmlformats-officedocument.spreadsheetml.revisionLog+xml"/>
  <Override PartName="/xl/revisions/revisionLog118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411111.xml" ContentType="application/vnd.openxmlformats-officedocument.spreadsheetml.revisionLog+xml"/>
  <Override PartName="/xl/revisions/revisionLog116111.xml" ContentType="application/vnd.openxmlformats-officedocument.spreadsheetml.revisionLog+xml"/>
  <Override PartName="/xl/revisions/revisionLog1162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151.xml" ContentType="application/vnd.openxmlformats-officedocument.spreadsheetml.revisionLog+xml"/>
  <Override PartName="/xl/revisions/revisionLog1811.xml" ContentType="application/vnd.openxmlformats-officedocument.spreadsheetml.revisionLog+xml"/>
  <Override PartName="/xl/revisions/revisionLog1162.xml" ContentType="application/vnd.openxmlformats-officedocument.spreadsheetml.revisionLog+xml"/>
  <Default Extension="bin" ContentType="application/vnd.openxmlformats-officedocument.spreadsheetml.printerSettings"/>
  <Override PartName="/xl/revisions/revisionLog1111.xml" ContentType="application/vnd.openxmlformats-officedocument.spreadsheetml.revisionLog+xml"/>
  <Override PartName="/xl/revisions/revisionLog1122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91.xml" ContentType="application/vnd.openxmlformats-officedocument.spreadsheetml.revisionLog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revisions/revisionLog15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171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1111.xml" ContentType="application/vnd.openxmlformats-officedocument.spreadsheetml.revisionLog+xml"/>
  <Override PartName="/xl/revisions/revisionLog11512.xml" ContentType="application/vnd.openxmlformats-officedocument.spreadsheetml.revisionLog+xml"/>
  <Override PartName="/xl/revisions/revisionLog1221.xml" ContentType="application/vnd.openxmlformats-officedocument.spreadsheetml.revisionLog+xml"/>
  <Override PartName="/xl/revisions/revisionLog12211.xml" ContentType="application/vnd.openxmlformats-officedocument.spreadsheetml.revisionLog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1011.xml" ContentType="application/vnd.openxmlformats-officedocument.spreadsheetml.revisionLog+xml"/>
  <Override PartName="/xl/revisions/revisionLog113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5.xml" ContentType="application/vnd.openxmlformats-officedocument.spreadsheetml.revisionLo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Log11311.xml" ContentType="application/vnd.openxmlformats-officedocument.spreadsheetml.revisionLog+xml"/>
  <Override PartName="/xl/revisions/revisionLog118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131111.xml" ContentType="application/vnd.openxmlformats-officedocument.spreadsheetml.revisionLog+xml"/>
  <Override PartName="/xl/revisions/revisionLog1181.xml" ContentType="application/vnd.openxmlformats-officedocument.spreadsheetml.revisionLog+xml"/>
  <Override PartName="/xl/revisions/revisionLog1172.xml" ContentType="application/vnd.openxmlformats-officedocument.spreadsheetml.revisionLog+xml"/>
  <Override PartName="/xl/revisions/revisionLog1811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12211.xml" ContentType="application/vnd.openxmlformats-officedocument.spreadsheetml.revisionLog+xml"/>
  <Override PartName="/xl/revisions/revisionLog1161.xml" ContentType="application/vnd.openxmlformats-officedocument.spreadsheetml.revisionLog+xml"/>
  <Override PartName="/xl/revisions/revisionLog11611.xml" ContentType="application/vnd.openxmlformats-officedocument.spreadsheetml.revisionLog+xml"/>
  <Override PartName="/xl/revisions/revisionLog114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61111.xml" ContentType="application/vnd.openxmlformats-officedocument.spreadsheetml.revisionLog+xml"/>
  <Override PartName="/xl/worksheets/sheet9.xml" ContentType="application/vnd.openxmlformats-officedocument.spreadsheetml.worksheet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101.xml" ContentType="application/vnd.openxmlformats-officedocument.spreadsheetml.revisionLog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10111.xml" ContentType="application/vnd.openxmlformats-officedocument.spreadsheetml.revisionLog+xml"/>
  <Override PartName="/xl/revisions/revisionLog121111.xml" ContentType="application/vnd.openxmlformats-officedocument.spreadsheetml.revisionLog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revisions/revisionLog141.xml" ContentType="application/vnd.openxmlformats-officedocument.spreadsheetml.revisionLog+xml"/>
  <Override PartName="/xl/revisions/revisionLog112.xml" ContentType="application/vnd.openxmlformats-officedocument.spreadsheetml.revisionLog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32.xml" ContentType="application/vnd.openxmlformats-officedocument.spreadsheetml.externalLink+xml"/>
  <Override PartName="/xl/comments2.xml" ContentType="application/vnd.openxmlformats-officedocument.spreadsheetml.comments+xml"/>
  <Override PartName="/xl/revisions/revisionLog14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1511.xml" ContentType="application/vnd.openxmlformats-officedocument.spreadsheetml.revisionLog+xml"/>
  <Override PartName="/xl/worksheets/sheet1.xml" ContentType="application/vnd.openxmlformats-officedocument.spreadsheetml.worksheet+xml"/>
  <Override PartName="/xl/externalLinks/externalLink21.xml" ContentType="application/vnd.openxmlformats-officedocument.spreadsheetml.externalLink+xml"/>
  <Override PartName="/xl/revisions/revisionLog114111.xml" ContentType="application/vnd.openxmlformats-officedocument.spreadsheetml.revisionLog+xml"/>
  <Override PartName="/xl/revisions/revisionLog1511.xml" ContentType="application/vnd.openxmlformats-officedocument.spreadsheetml.revisionLog+xml"/>
  <Override PartName="/xl/externalLinks/externalLink10.xml" ContentType="application/vnd.openxmlformats-officedocument.spreadsheetml.externalLink+xml"/>
  <Override PartName="/xl/revisions/revisionLog1182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7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1411.xml" ContentType="application/vnd.openxmlformats-officedocument.spreadsheetml.revisionLog+xml"/>
  <Override PartName="/xl/revisions/revisionLog1101111.xml" ContentType="application/vnd.openxmlformats-officedocument.spreadsheetml.revisionLog+xml"/>
  <Override PartName="/xl/revisions/revisionLog13111.xml" ContentType="application/vnd.openxmlformats-officedocument.spreadsheetml.revisionLog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revisions/revisionLog117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31111.xml" ContentType="application/vnd.openxmlformats-officedocument.spreadsheetml.revisionLog+xml"/>
  <Override PartName="/xl/worksheets/sheet6.xml" ContentType="application/vnd.openxmlformats-officedocument.spreadsheetml.worksheet+xml"/>
  <Override PartName="/xl/revisions/revisionLog19.xml" ContentType="application/vnd.openxmlformats-officedocument.spreadsheetml.revisionLog+xml"/>
  <Override PartName="/xl/revisions/revisionLog181111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1221.xml" ContentType="application/vnd.openxmlformats-officedocument.spreadsheetml.revisionLog+xml"/>
  <Override PartName="/xl/revisions/revisionLog1172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 activeTab="7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штатка" sheetId="8" r:id="rId8"/>
    <sheet name="6.2. Інша інфо_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Коефіцієнти'!$A$1:$H$26</definedName>
    <definedName name="Z_1E3D5FB9_014E_4051_8AD5_DB0A17D05797_.wvu.PrintArea" localSheetId="6" hidden="1">'6.1. Інша інфо_1'!$A$1:$O$81</definedName>
    <definedName name="Z_1E3D5FB9_014E_4051_8AD5_DB0A17D05797_.wvu.PrintArea" localSheetId="8" hidden="1">'6.2. Інша інфо_2'!$A$1:$AE$54</definedName>
    <definedName name="Z_1E3D5FB9_014E_4051_8AD5_DB0A17D05797_.wvu.PrintArea" localSheetId="1" hidden="1">'I. Фін результат'!$A$1:$J$110</definedName>
    <definedName name="Z_1E3D5FB9_014E_4051_8AD5_DB0A17D05797_.wvu.PrintArea" localSheetId="4" hidden="1">'IV. Кап. інвестиції'!$A$1:$I$16</definedName>
    <definedName name="Z_1E3D5FB9_014E_4051_8AD5_DB0A17D05797_.wvu.PrintArea" localSheetId="2" hidden="1">'ІІ. Розр. з бюджетом'!$A$1:$I$42</definedName>
    <definedName name="Z_1E3D5FB9_014E_4051_8AD5_DB0A17D05797_.wvu.PrintArea" localSheetId="3" hidden="1">'ІІІ. Рух грош. коштів'!$A$1:$I$85</definedName>
    <definedName name="Z_1E3D5FB9_014E_4051_8AD5_DB0A17D05797_.wvu.PrintArea" localSheetId="0" hidden="1">'Осн. фін. пок.'!$A$1:$J$86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пок.'!$35:$35</definedName>
    <definedName name="Z_43DCEB14_ADF8_4168_9283_6542A71D3CF7_.wvu.PrintArea" localSheetId="5" hidden="1">' V. Коефіцієнти'!$A$1:$H$26</definedName>
    <definedName name="Z_43DCEB14_ADF8_4168_9283_6542A71D3CF7_.wvu.PrintArea" localSheetId="6" hidden="1">'6.1. Інша інфо_1'!$A$1:$O$81</definedName>
    <definedName name="Z_43DCEB14_ADF8_4168_9283_6542A71D3CF7_.wvu.PrintArea" localSheetId="8" hidden="1">'6.2. Інша інфо_2'!$A$1:$AE$54</definedName>
    <definedName name="Z_43DCEB14_ADF8_4168_9283_6542A71D3CF7_.wvu.PrintArea" localSheetId="1" hidden="1">'I. Фін результат'!$A$1:$J$110</definedName>
    <definedName name="Z_43DCEB14_ADF8_4168_9283_6542A71D3CF7_.wvu.PrintArea" localSheetId="4" hidden="1">'IV. Кап. інвестиції'!$A$1:$I$16</definedName>
    <definedName name="Z_43DCEB14_ADF8_4168_9283_6542A71D3CF7_.wvu.PrintArea" localSheetId="2" hidden="1">'ІІ. Розр. з бюджетом'!$A$1:$I$42</definedName>
    <definedName name="Z_43DCEB14_ADF8_4168_9283_6542A71D3CF7_.wvu.PrintArea" localSheetId="3" hidden="1">'ІІІ. Рух грош. коштів'!$A$1:$I$85</definedName>
    <definedName name="Z_43DCEB14_ADF8_4168_9283_6542A71D3CF7_.wvu.PrintArea" localSheetId="0" hidden="1">'Осн. фін. пок.'!$A$1:$J$86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пок.'!$35:$35</definedName>
    <definedName name="Z_4BF2F851_A775_4F33_8DA4_C59D9D94DA9D_.wvu.PrintArea" localSheetId="5" hidden="1">' V. Коефіцієнти'!$A$1:$H$26</definedName>
    <definedName name="Z_4BF2F851_A775_4F33_8DA4_C59D9D94DA9D_.wvu.PrintArea" localSheetId="6" hidden="1">'6.1. Інша інфо_1'!$A$1:$O$81</definedName>
    <definedName name="Z_4BF2F851_A775_4F33_8DA4_C59D9D94DA9D_.wvu.PrintArea" localSheetId="8" hidden="1">'6.2. Інша інфо_2'!$A$1:$AE$54</definedName>
    <definedName name="Z_4BF2F851_A775_4F33_8DA4_C59D9D94DA9D_.wvu.PrintArea" localSheetId="1" hidden="1">'I. Фін результат'!$A$1:$J$110</definedName>
    <definedName name="Z_4BF2F851_A775_4F33_8DA4_C59D9D94DA9D_.wvu.PrintArea" localSheetId="4" hidden="1">'IV. Кап. інвестиції'!$A$1:$I$16</definedName>
    <definedName name="Z_4BF2F851_A775_4F33_8DA4_C59D9D94DA9D_.wvu.PrintArea" localSheetId="2" hidden="1">'ІІ. Розр. з бюджетом'!$A$1:$I$42</definedName>
    <definedName name="Z_4BF2F851_A775_4F33_8DA4_C59D9D94DA9D_.wvu.PrintArea" localSheetId="3" hidden="1">'ІІІ. Рух грош. коштів'!$A$1:$I$85</definedName>
    <definedName name="Z_4BF2F851_A775_4F33_8DA4_C59D9D94DA9D_.wvu.PrintArea" localSheetId="0" hidden="1">'Осн. фін. пок.'!$A$1:$J$86</definedName>
    <definedName name="Z_4BF2F851_A775_4F33_8DA4_C59D9D94DA9D_.wvu.PrintTitles" localSheetId="5" hidden="1">' V. Коефіцієнти'!$5:$5</definedName>
    <definedName name="Z_4BF2F851_A775_4F33_8DA4_C59D9D94DA9D_.wvu.PrintTitles" localSheetId="1" hidden="1">'I. Фін результат'!$5:$5</definedName>
    <definedName name="Z_4BF2F851_A775_4F33_8DA4_C59D9D94DA9D_.wvu.PrintTitles" localSheetId="2" hidden="1">'ІІ. Розр. з бюджетом'!$5:$5</definedName>
    <definedName name="Z_4BF2F851_A775_4F33_8DA4_C59D9D94DA9D_.wvu.PrintTitles" localSheetId="3" hidden="1">'ІІІ. Рух грош. коштів'!$5:$5</definedName>
    <definedName name="Z_4BF2F851_A775_4F33_8DA4_C59D9D94DA9D_.wvu.PrintTitles" localSheetId="0" hidden="1">'Осн. фін. пок.'!$35:$35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пок.'!$35:$35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Коефіцієнти'!$A$1:$H$26</definedName>
    <definedName name="_xlnm.Print_Area" localSheetId="6">'6.1. Інша інфо_1'!$A$1:$O$81</definedName>
    <definedName name="_xlnm.Print_Area" localSheetId="8">'6.2. Інша інфо_2'!$A$1:$AE$54</definedName>
    <definedName name="_xlnm.Print_Area" localSheetId="1">'I. Фін результат'!$A$1:$J$110</definedName>
    <definedName name="_xlnm.Print_Area" localSheetId="4">'IV. Кап. інвестиції'!$A$1:$I$16</definedName>
    <definedName name="_xlnm.Print_Area" localSheetId="2">'ІІ. Розр. з бюджетом'!$A$1:$I$42</definedName>
    <definedName name="_xlnm.Print_Area" localSheetId="3">'ІІІ. Рух грош. коштів'!$A$1:$I$85</definedName>
    <definedName name="_xlnm.Print_Area" localSheetId="0">'Осн. фін. пок.'!$A$1:$J$86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4519"/>
  <customWorkbookViews>
    <customWorkbookView name="Admin - Личное представление" guid="{4BF2F851-A775-4F33-8DA4-C59D9D94DA9D}" mergeInterval="0" personalView="1" maximized="1" xWindow="1" yWindow="1" windowWidth="1366" windowHeight="538" tabRatio="837" activeSheetId="1"/>
    <customWorkbookView name="1235 - Личное представление" guid="{1E3D5FB9-014E-4051-8AD5-DB0A17D05797}" mergeInterval="0" personalView="1" maximized="1" xWindow="1" yWindow="1" windowWidth="1276" windowHeight="794" tabRatio="837" activeSheetId="2"/>
    <customWorkbookView name="UserNEW - Личное представление" guid="{43DCEB14-ADF8-4168-9283-6542A71D3CF7}" mergeInterval="0" personalView="1" maximized="1" xWindow="1" yWindow="1" windowWidth="1600" windowHeight="670" tabRatio="837" activeSheetId="1"/>
  </customWorkbookViews>
</workbook>
</file>

<file path=xl/calcChain.xml><?xml version="1.0" encoding="utf-8"?>
<calcChain xmlns="http://schemas.openxmlformats.org/spreadsheetml/2006/main">
  <c r="E73" i="1"/>
  <c r="P33" i="9"/>
  <c r="Q33"/>
  <c r="R33"/>
  <c r="O33"/>
  <c r="M33"/>
  <c r="N33"/>
  <c r="L33"/>
  <c r="D97" i="2"/>
  <c r="E97"/>
  <c r="F97"/>
  <c r="G97"/>
  <c r="H97"/>
  <c r="I97"/>
  <c r="C97"/>
  <c r="G32"/>
  <c r="J25" i="7"/>
  <c r="J24"/>
  <c r="J23"/>
  <c r="J21"/>
  <c r="J20"/>
  <c r="J19"/>
  <c r="M56"/>
  <c r="W71" i="8"/>
  <c r="W70"/>
  <c r="W66"/>
  <c r="W65"/>
  <c r="W64"/>
  <c r="W61"/>
  <c r="W60"/>
  <c r="W59"/>
  <c r="W56"/>
  <c r="W55"/>
  <c r="W54"/>
  <c r="Y46"/>
  <c r="Z46"/>
  <c r="Z45"/>
  <c r="Z42"/>
  <c r="Z39"/>
  <c r="Y49"/>
  <c r="Y48"/>
  <c r="Y45"/>
  <c r="Y42"/>
  <c r="Y39"/>
  <c r="X49"/>
  <c r="X48"/>
  <c r="X46"/>
  <c r="X45"/>
  <c r="X40" s="1"/>
  <c r="X43"/>
  <c r="X42"/>
  <c r="X39"/>
  <c r="W49"/>
  <c r="W48"/>
  <c r="W46"/>
  <c r="W45"/>
  <c r="W43"/>
  <c r="W42"/>
  <c r="W40"/>
  <c r="W39"/>
  <c r="K31"/>
  <c r="F99" i="2"/>
  <c r="G99"/>
  <c r="H99"/>
  <c r="I99"/>
  <c r="E99"/>
  <c r="D99"/>
  <c r="C99"/>
  <c r="D113"/>
  <c r="C113"/>
  <c r="C102"/>
  <c r="E13" i="4"/>
  <c r="J31" i="7" l="1"/>
  <c r="J29"/>
  <c r="J28"/>
  <c r="J27"/>
  <c r="T11" i="8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F31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K32"/>
  <c r="K34" l="1"/>
  <c r="K30" l="1"/>
  <c r="X31" l="1"/>
  <c r="E31"/>
  <c r="AF10"/>
  <c r="W69"/>
  <c r="AD31"/>
  <c r="X10"/>
  <c r="W10"/>
  <c r="T10"/>
  <c r="S10"/>
  <c r="R11"/>
  <c r="Q32"/>
  <c r="O10"/>
  <c r="M10"/>
  <c r="L10"/>
  <c r="K29"/>
  <c r="K28"/>
  <c r="K27"/>
  <c r="K26"/>
  <c r="K25"/>
  <c r="K24"/>
  <c r="I30"/>
  <c r="I32"/>
  <c r="G22"/>
  <c r="K22"/>
  <c r="K21"/>
  <c r="K20"/>
  <c r="G19"/>
  <c r="E19"/>
  <c r="K19"/>
  <c r="K18"/>
  <c r="K17"/>
  <c r="K16"/>
  <c r="K15"/>
  <c r="K14"/>
  <c r="K13"/>
  <c r="K12"/>
  <c r="K11"/>
  <c r="K10"/>
  <c r="C100" i="2"/>
  <c r="C101"/>
  <c r="C103" s="1"/>
  <c r="D100"/>
  <c r="D101"/>
  <c r="D102"/>
  <c r="E102"/>
  <c r="E103" s="1"/>
  <c r="D103"/>
  <c r="I102"/>
  <c r="L22"/>
  <c r="F56" i="7"/>
  <c r="AF31" i="8" l="1"/>
  <c r="F8" i="5"/>
  <c r="E65" i="2"/>
  <c r="E76"/>
  <c r="F76" i="1"/>
  <c r="F22" i="3" l="1"/>
  <c r="D20"/>
  <c r="D21"/>
  <c r="K22" i="2"/>
  <c r="C12" i="4"/>
  <c r="C65" i="2"/>
  <c r="O32" i="9" l="1"/>
  <c r="P32"/>
  <c r="Q32"/>
  <c r="R32"/>
  <c r="E59" i="4"/>
  <c r="E39"/>
  <c r="E21"/>
  <c r="E12"/>
  <c r="F33" i="8"/>
  <c r="K23"/>
  <c r="J33"/>
  <c r="I12" i="2"/>
  <c r="D6" i="5"/>
  <c r="D59" i="4"/>
  <c r="D39"/>
  <c r="D70" i="2"/>
  <c r="F70"/>
  <c r="H12" l="1"/>
  <c r="G12"/>
  <c r="F12"/>
  <c r="G70"/>
  <c r="H70"/>
  <c r="I70"/>
  <c r="M7" i="9"/>
  <c r="M11"/>
  <c r="Z12" l="1"/>
  <c r="Q12"/>
  <c r="D17" i="4"/>
  <c r="E17"/>
  <c r="F17"/>
  <c r="G17"/>
  <c r="H17"/>
  <c r="I17"/>
  <c r="C17"/>
  <c r="M30" i="8" l="1"/>
  <c r="G102" i="2"/>
  <c r="F102"/>
  <c r="H102" l="1"/>
  <c r="I56" i="7" l="1"/>
  <c r="G39" i="4"/>
  <c r="G19" i="5" s="1"/>
  <c r="H39" i="4"/>
  <c r="H19" i="5" s="1"/>
  <c r="I39" i="4"/>
  <c r="I19" i="5" s="1"/>
  <c r="F39" i="4"/>
  <c r="F19" i="5" s="1"/>
  <c r="M22" i="8" l="1"/>
  <c r="R12"/>
  <c r="S12" s="1"/>
  <c r="X12" s="1"/>
  <c r="S18"/>
  <c r="Q15"/>
  <c r="E32"/>
  <c r="Y32" s="1"/>
  <c r="H20" i="2" l="1"/>
  <c r="G20"/>
  <c r="L32" i="8" l="1"/>
  <c r="R13" l="1"/>
  <c r="G16"/>
  <c r="G17"/>
  <c r="G15"/>
  <c r="L15" s="1"/>
  <c r="E14"/>
  <c r="D13"/>
  <c r="D12"/>
  <c r="D11"/>
  <c r="I21" i="4"/>
  <c r="H21"/>
  <c r="G21"/>
  <c r="F21"/>
  <c r="D33" i="8" l="1"/>
  <c r="D8" i="3"/>
  <c r="C59" i="4"/>
  <c r="C45"/>
  <c r="C61" i="2"/>
  <c r="C46"/>
  <c r="E46"/>
  <c r="F46"/>
  <c r="G46"/>
  <c r="H46"/>
  <c r="I46"/>
  <c r="D46"/>
  <c r="C33" i="8" l="1"/>
  <c r="E100" i="2" l="1"/>
  <c r="E101"/>
  <c r="N33" i="8" l="1"/>
  <c r="M28"/>
  <c r="M29"/>
  <c r="M31"/>
  <c r="M32"/>
  <c r="O32" s="1"/>
  <c r="M26"/>
  <c r="M27"/>
  <c r="M21"/>
  <c r="M20"/>
  <c r="M19"/>
  <c r="M15"/>
  <c r="M16"/>
  <c r="M17"/>
  <c r="M18"/>
  <c r="M11"/>
  <c r="M12"/>
  <c r="M13"/>
  <c r="M14"/>
  <c r="R33" l="1"/>
  <c r="E11"/>
  <c r="E12"/>
  <c r="E13"/>
  <c r="L13" s="1"/>
  <c r="L14"/>
  <c r="L16"/>
  <c r="L17"/>
  <c r="G18"/>
  <c r="E20"/>
  <c r="E21"/>
  <c r="E22"/>
  <c r="E23"/>
  <c r="G23" s="1"/>
  <c r="E24"/>
  <c r="E25"/>
  <c r="E26"/>
  <c r="E27"/>
  <c r="G27" s="1"/>
  <c r="E28"/>
  <c r="E29"/>
  <c r="E30"/>
  <c r="L31"/>
  <c r="E10"/>
  <c r="D21" i="4"/>
  <c r="E45"/>
  <c r="E61" i="2"/>
  <c r="G29" i="8" l="1"/>
  <c r="L29" s="1"/>
  <c r="W30"/>
  <c r="W22"/>
  <c r="U10"/>
  <c r="E33"/>
  <c r="G21"/>
  <c r="L21" s="1"/>
  <c r="Y10"/>
  <c r="G20"/>
  <c r="L18"/>
  <c r="O18" s="1"/>
  <c r="U18" s="1"/>
  <c r="L11"/>
  <c r="I33"/>
  <c r="G28"/>
  <c r="G26"/>
  <c r="G25"/>
  <c r="L25" s="1"/>
  <c r="G24"/>
  <c r="L24" s="1"/>
  <c r="L22"/>
  <c r="U32"/>
  <c r="O16"/>
  <c r="U16" s="1"/>
  <c r="O31"/>
  <c r="O17"/>
  <c r="U17" s="1"/>
  <c r="O15"/>
  <c r="U15" s="1"/>
  <c r="O13"/>
  <c r="U13" s="1"/>
  <c r="O14"/>
  <c r="U14" s="1"/>
  <c r="T33"/>
  <c r="L23"/>
  <c r="M8" i="9"/>
  <c r="M9"/>
  <c r="M10"/>
  <c r="D61" i="2"/>
  <c r="C70"/>
  <c r="D7"/>
  <c r="E7"/>
  <c r="F7"/>
  <c r="G7"/>
  <c r="H7"/>
  <c r="I7"/>
  <c r="C7"/>
  <c r="E70"/>
  <c r="L20" i="8" l="1"/>
  <c r="M12" i="9"/>
  <c r="L28" i="8"/>
  <c r="O28" s="1"/>
  <c r="U28" s="1"/>
  <c r="L12"/>
  <c r="O12" s="1"/>
  <c r="U12" s="1"/>
  <c r="L26"/>
  <c r="O26" s="1"/>
  <c r="U26" s="1"/>
  <c r="C87" i="2"/>
  <c r="L19" i="8"/>
  <c r="O19" s="1"/>
  <c r="U19" s="1"/>
  <c r="O20"/>
  <c r="U20" s="1"/>
  <c r="O11"/>
  <c r="U11" s="1"/>
  <c r="H33"/>
  <c r="G33"/>
  <c r="O22"/>
  <c r="U22" s="1"/>
  <c r="O21"/>
  <c r="U21" s="1"/>
  <c r="U31"/>
  <c r="O29"/>
  <c r="L30" l="1"/>
  <c r="O30" s="1"/>
  <c r="L27"/>
  <c r="O27" s="1"/>
  <c r="U27" s="1"/>
  <c r="K33"/>
  <c r="L33" l="1"/>
  <c r="Y64"/>
  <c r="Y11"/>
  <c r="AA11"/>
  <c r="AC11"/>
  <c r="Y12"/>
  <c r="AA12"/>
  <c r="AC12"/>
  <c r="Y13"/>
  <c r="AA13"/>
  <c r="AC13"/>
  <c r="Y14"/>
  <c r="AA14"/>
  <c r="AC14"/>
  <c r="Y15"/>
  <c r="AA15"/>
  <c r="AC15"/>
  <c r="Y16"/>
  <c r="AA16"/>
  <c r="AC16"/>
  <c r="Y17"/>
  <c r="AA17"/>
  <c r="AC17"/>
  <c r="Y18"/>
  <c r="AA18"/>
  <c r="AC18"/>
  <c r="Y19"/>
  <c r="AA19"/>
  <c r="AC19"/>
  <c r="Y20"/>
  <c r="AA20"/>
  <c r="AC20"/>
  <c r="Y21"/>
  <c r="AA21"/>
  <c r="AC21"/>
  <c r="Y22"/>
  <c r="AA22"/>
  <c r="AC22"/>
  <c r="Y23"/>
  <c r="AA23"/>
  <c r="AC23"/>
  <c r="Y24"/>
  <c r="AA24"/>
  <c r="AC24"/>
  <c r="Y25"/>
  <c r="AA25"/>
  <c r="AC25"/>
  <c r="Y26"/>
  <c r="AA26"/>
  <c r="AC26"/>
  <c r="Y27"/>
  <c r="AA27"/>
  <c r="AC27"/>
  <c r="Y28"/>
  <c r="AA28"/>
  <c r="AC28"/>
  <c r="Y29"/>
  <c r="AA29"/>
  <c r="AC29"/>
  <c r="Y30"/>
  <c r="AA30"/>
  <c r="AC30"/>
  <c r="Y31"/>
  <c r="AA31"/>
  <c r="AC31"/>
  <c r="AA32"/>
  <c r="AC32"/>
  <c r="AC10"/>
  <c r="AA10"/>
  <c r="W11"/>
  <c r="W12"/>
  <c r="W13"/>
  <c r="W14"/>
  <c r="W15"/>
  <c r="W16"/>
  <c r="W17"/>
  <c r="W18"/>
  <c r="W19"/>
  <c r="W20"/>
  <c r="W21"/>
  <c r="W23"/>
  <c r="W24"/>
  <c r="W25"/>
  <c r="W26"/>
  <c r="W27"/>
  <c r="W28"/>
  <c r="W29"/>
  <c r="W31"/>
  <c r="W32"/>
  <c r="S11"/>
  <c r="S13"/>
  <c r="AD13" s="1"/>
  <c r="S14"/>
  <c r="S15"/>
  <c r="AD15" s="1"/>
  <c r="S16"/>
  <c r="S17"/>
  <c r="S19"/>
  <c r="S20"/>
  <c r="S21"/>
  <c r="S22"/>
  <c r="S23"/>
  <c r="S24"/>
  <c r="S25"/>
  <c r="S26"/>
  <c r="S27"/>
  <c r="S28"/>
  <c r="S29"/>
  <c r="S30"/>
  <c r="S31"/>
  <c r="S32"/>
  <c r="Q16"/>
  <c r="Q17"/>
  <c r="Q18"/>
  <c r="Q19"/>
  <c r="AD19" s="1"/>
  <c r="AE19" s="1"/>
  <c r="Q20"/>
  <c r="X20" s="1"/>
  <c r="Q21"/>
  <c r="AD21" s="1"/>
  <c r="AE21" s="1"/>
  <c r="Q22"/>
  <c r="Q23"/>
  <c r="Q24"/>
  <c r="Q25"/>
  <c r="Q26"/>
  <c r="Q27"/>
  <c r="Q28"/>
  <c r="Q29"/>
  <c r="Q30"/>
  <c r="Q31"/>
  <c r="AE31" s="1"/>
  <c r="I59" i="4"/>
  <c r="G59"/>
  <c r="H59"/>
  <c r="F59"/>
  <c r="Z32" i="8" l="1"/>
  <c r="X32"/>
  <c r="AD17"/>
  <c r="AE17" s="1"/>
  <c r="Z10"/>
  <c r="AD11"/>
  <c r="AE11" s="1"/>
  <c r="X11"/>
  <c r="AE15"/>
  <c r="AE13"/>
  <c r="AD26"/>
  <c r="AE26" s="1"/>
  <c r="AB16"/>
  <c r="AB14"/>
  <c r="AD32"/>
  <c r="AD28"/>
  <c r="AE28" s="1"/>
  <c r="AD27"/>
  <c r="AE27" s="1"/>
  <c r="AD22"/>
  <c r="AE22" s="1"/>
  <c r="AD20"/>
  <c r="AE20" s="1"/>
  <c r="AD18"/>
  <c r="AE18" s="1"/>
  <c r="AB12"/>
  <c r="AD10"/>
  <c r="AE10" s="1"/>
  <c r="X27"/>
  <c r="X21"/>
  <c r="X19"/>
  <c r="X17"/>
  <c r="X15"/>
  <c r="X13"/>
  <c r="Z31"/>
  <c r="Z27"/>
  <c r="Z21"/>
  <c r="Z19"/>
  <c r="Z17"/>
  <c r="Z15"/>
  <c r="Z13"/>
  <c r="Z11"/>
  <c r="AB31"/>
  <c r="AB27"/>
  <c r="AB21"/>
  <c r="AB19"/>
  <c r="AB17"/>
  <c r="AB15"/>
  <c r="AB13"/>
  <c r="AB11"/>
  <c r="AD16"/>
  <c r="AE16" s="1"/>
  <c r="AD14"/>
  <c r="AE14" s="1"/>
  <c r="AD12"/>
  <c r="AE12" s="1"/>
  <c r="W33"/>
  <c r="X28"/>
  <c r="X26"/>
  <c r="X22"/>
  <c r="X18"/>
  <c r="X16"/>
  <c r="X14"/>
  <c r="Z28"/>
  <c r="Z26"/>
  <c r="Z22"/>
  <c r="Z20"/>
  <c r="Z18"/>
  <c r="Z16"/>
  <c r="Z14"/>
  <c r="Z12"/>
  <c r="AB10"/>
  <c r="AB32"/>
  <c r="AB28"/>
  <c r="AB26"/>
  <c r="AB22"/>
  <c r="AB20"/>
  <c r="AB18"/>
  <c r="AC33"/>
  <c r="AA33"/>
  <c r="Y33"/>
  <c r="I45" i="4"/>
  <c r="H45"/>
  <c r="G45"/>
  <c r="F45"/>
  <c r="AF32" i="8" l="1"/>
  <c r="AE32"/>
  <c r="Y66"/>
  <c r="Y65"/>
  <c r="Y69"/>
  <c r="X30" i="9"/>
  <c r="Y30"/>
  <c r="Z30"/>
  <c r="W30"/>
  <c r="Z48" i="8" l="1"/>
  <c r="Y54"/>
  <c r="Y59"/>
  <c r="N32" i="9"/>
  <c r="L32"/>
  <c r="K32"/>
  <c r="M32"/>
  <c r="D12" i="4"/>
  <c r="G13"/>
  <c r="G12" s="1"/>
  <c r="H13"/>
  <c r="H12" s="1"/>
  <c r="I13"/>
  <c r="I12" s="1"/>
  <c r="F13"/>
  <c r="F12" s="1"/>
  <c r="N13" i="7" l="1"/>
  <c r="N16"/>
  <c r="N19"/>
  <c r="N12"/>
  <c r="L13"/>
  <c r="L16"/>
  <c r="L19"/>
  <c r="L12"/>
  <c r="D79" i="1" l="1"/>
  <c r="I61" i="2" l="1"/>
  <c r="H61"/>
  <c r="G61"/>
  <c r="F61"/>
  <c r="G22" i="5"/>
  <c r="H22"/>
  <c r="I22"/>
  <c r="F22"/>
  <c r="G20"/>
  <c r="H20"/>
  <c r="I20"/>
  <c r="F20"/>
  <c r="X31" i="9" l="1"/>
  <c r="X32" s="1"/>
  <c r="G8" i="5" s="1"/>
  <c r="Y31" i="9"/>
  <c r="Y32" s="1"/>
  <c r="H8" i="5" s="1"/>
  <c r="Z31" i="9"/>
  <c r="Z32" s="1"/>
  <c r="I8" i="5" s="1"/>
  <c r="L29" i="7" l="1"/>
  <c r="L56"/>
  <c r="L28" l="1"/>
  <c r="F116" i="2" l="1"/>
  <c r="G116"/>
  <c r="H116"/>
  <c r="I116"/>
  <c r="G115"/>
  <c r="H115"/>
  <c r="I115"/>
  <c r="F115"/>
  <c r="C39" i="4"/>
  <c r="C21" l="1"/>
  <c r="C35" i="3"/>
  <c r="C37"/>
  <c r="D14" i="6" l="1"/>
  <c r="D15"/>
  <c r="D19"/>
  <c r="L27" i="7" l="1"/>
  <c r="N31" l="1"/>
  <c r="N27"/>
  <c r="N28"/>
  <c r="N29"/>
  <c r="N23"/>
  <c r="L23"/>
  <c r="L31"/>
  <c r="C57" i="1" l="1"/>
  <c r="T12" i="9"/>
  <c r="W12"/>
  <c r="AC12"/>
  <c r="V20"/>
  <c r="V21"/>
  <c r="X22"/>
  <c r="Z22"/>
  <c r="AB22"/>
  <c r="AD22"/>
  <c r="W31"/>
  <c r="W32" s="1"/>
  <c r="G32"/>
  <c r="H32"/>
  <c r="I32"/>
  <c r="J32"/>
  <c r="S32"/>
  <c r="T32"/>
  <c r="U32"/>
  <c r="V32"/>
  <c r="M41"/>
  <c r="M42"/>
  <c r="M43"/>
  <c r="M44"/>
  <c r="M45"/>
  <c r="M46"/>
  <c r="M47"/>
  <c r="E48"/>
  <c r="G48"/>
  <c r="I48"/>
  <c r="K48"/>
  <c r="O48"/>
  <c r="Q48"/>
  <c r="S48"/>
  <c r="O56" i="7"/>
  <c r="M57"/>
  <c r="K66"/>
  <c r="C6" i="5"/>
  <c r="C67" i="1" s="1"/>
  <c r="E6" i="5"/>
  <c r="F67" i="1" s="1"/>
  <c r="F6" i="5"/>
  <c r="G6"/>
  <c r="H6"/>
  <c r="I6"/>
  <c r="E67" i="1" s="1"/>
  <c r="G67" s="1"/>
  <c r="H67" s="1"/>
  <c r="I67" s="1"/>
  <c r="J67" s="1"/>
  <c r="F26" i="4"/>
  <c r="G26"/>
  <c r="H26"/>
  <c r="C47"/>
  <c r="C62" i="1" s="1"/>
  <c r="D47" i="4"/>
  <c r="E47"/>
  <c r="F62" i="1" s="1"/>
  <c r="F47" i="4"/>
  <c r="G47"/>
  <c r="H47"/>
  <c r="I47"/>
  <c r="E62" i="1" s="1"/>
  <c r="G62" s="1"/>
  <c r="H62" s="1"/>
  <c r="I62" s="1"/>
  <c r="J62" s="1"/>
  <c r="G22" i="3"/>
  <c r="H22"/>
  <c r="C25"/>
  <c r="C56" i="1" s="1"/>
  <c r="D25" i="3"/>
  <c r="D56" i="1" s="1"/>
  <c r="E25" i="3"/>
  <c r="F56" i="1" s="1"/>
  <c r="D87" i="2"/>
  <c r="G87"/>
  <c r="C9"/>
  <c r="D9"/>
  <c r="E9"/>
  <c r="F20"/>
  <c r="C24"/>
  <c r="C40" i="1" s="1"/>
  <c r="D24" i="2"/>
  <c r="E24"/>
  <c r="F40" i="1" s="1"/>
  <c r="C49" i="2"/>
  <c r="C41" i="1" s="1"/>
  <c r="D49" i="2"/>
  <c r="D41" i="1" s="1"/>
  <c r="E49" i="2"/>
  <c r="F49"/>
  <c r="G49"/>
  <c r="H49"/>
  <c r="I49"/>
  <c r="E41" i="1" s="1"/>
  <c r="G41" s="1"/>
  <c r="H41" s="1"/>
  <c r="I41" s="1"/>
  <c r="J41" s="1"/>
  <c r="C56" i="2"/>
  <c r="D56"/>
  <c r="E56"/>
  <c r="F56"/>
  <c r="G56"/>
  <c r="I56"/>
  <c r="C85"/>
  <c r="C46" i="1" s="1"/>
  <c r="D85" i="2"/>
  <c r="D46" i="1" s="1"/>
  <c r="E85" i="2"/>
  <c r="F46" i="1" s="1"/>
  <c r="F85" i="2"/>
  <c r="G85"/>
  <c r="H85"/>
  <c r="I85"/>
  <c r="E46" i="1" s="1"/>
  <c r="G46" s="1"/>
  <c r="H46" s="1"/>
  <c r="I46" s="1"/>
  <c r="J46" s="1"/>
  <c r="C86" i="2"/>
  <c r="C47" i="1" s="1"/>
  <c r="D86" i="2"/>
  <c r="D47" i="1" s="1"/>
  <c r="E86" i="2"/>
  <c r="F86"/>
  <c r="G86"/>
  <c r="H86"/>
  <c r="I86"/>
  <c r="E47" i="1" s="1"/>
  <c r="G47" s="1"/>
  <c r="H47" s="1"/>
  <c r="I47" s="1"/>
  <c r="J47" s="1"/>
  <c r="E87" i="2"/>
  <c r="C92"/>
  <c r="D92"/>
  <c r="E92"/>
  <c r="F92"/>
  <c r="G92"/>
  <c r="H92"/>
  <c r="I92"/>
  <c r="C93"/>
  <c r="D93"/>
  <c r="E93"/>
  <c r="F93"/>
  <c r="G93"/>
  <c r="H93"/>
  <c r="I93"/>
  <c r="C91"/>
  <c r="D9" i="4"/>
  <c r="F9"/>
  <c r="H9"/>
  <c r="B37" i="1"/>
  <c r="C37"/>
  <c r="D37"/>
  <c r="F37"/>
  <c r="B38"/>
  <c r="B39"/>
  <c r="B40"/>
  <c r="B41"/>
  <c r="F41"/>
  <c r="B42"/>
  <c r="B43"/>
  <c r="B44"/>
  <c r="B45"/>
  <c r="B46"/>
  <c r="B47"/>
  <c r="F47"/>
  <c r="B48"/>
  <c r="B49"/>
  <c r="B50"/>
  <c r="B51"/>
  <c r="B53"/>
  <c r="B54"/>
  <c r="C55"/>
  <c r="D55"/>
  <c r="F55"/>
  <c r="E55"/>
  <c r="G55" s="1"/>
  <c r="H55" s="1"/>
  <c r="I55" s="1"/>
  <c r="J55" s="1"/>
  <c r="B56"/>
  <c r="B57"/>
  <c r="D57"/>
  <c r="B58"/>
  <c r="B60"/>
  <c r="C60"/>
  <c r="D60"/>
  <c r="B61"/>
  <c r="B62"/>
  <c r="D62"/>
  <c r="B63"/>
  <c r="B64"/>
  <c r="C64"/>
  <c r="D64"/>
  <c r="F64"/>
  <c r="E64"/>
  <c r="G64" s="1"/>
  <c r="H64" s="1"/>
  <c r="I64" s="1"/>
  <c r="J64" s="1"/>
  <c r="B65"/>
  <c r="B67"/>
  <c r="D67"/>
  <c r="B69"/>
  <c r="B70"/>
  <c r="B71"/>
  <c r="C71"/>
  <c r="C79"/>
  <c r="F87" i="2" l="1"/>
  <c r="I91"/>
  <c r="I9" i="4"/>
  <c r="G91" i="2"/>
  <c r="G9" i="4"/>
  <c r="E37" i="3"/>
  <c r="F57" i="1" s="1"/>
  <c r="F17" i="6"/>
  <c r="E17" s="1"/>
  <c r="D18"/>
  <c r="D17"/>
  <c r="G17"/>
  <c r="D84" i="2"/>
  <c r="D42" i="1" s="1"/>
  <c r="M48" i="9"/>
  <c r="D19" i="3"/>
  <c r="D53" i="1" s="1"/>
  <c r="V22" i="9"/>
  <c r="H56" i="2"/>
  <c r="F84"/>
  <c r="D19"/>
  <c r="D39" i="1" s="1"/>
  <c r="D38"/>
  <c r="H91" i="2"/>
  <c r="D91"/>
  <c r="G19" i="6"/>
  <c r="F91" i="2"/>
  <c r="E19"/>
  <c r="C19"/>
  <c r="I84"/>
  <c r="E42" i="1" s="1"/>
  <c r="G42" s="1"/>
  <c r="H42" s="1"/>
  <c r="I42" s="1"/>
  <c r="J42" s="1"/>
  <c r="D40"/>
  <c r="H87" i="2"/>
  <c r="F38" i="1"/>
  <c r="C38"/>
  <c r="E37"/>
  <c r="G37" s="1"/>
  <c r="H37" s="1"/>
  <c r="I37" s="1"/>
  <c r="J37" s="1"/>
  <c r="I87" i="2"/>
  <c r="G84"/>
  <c r="E84"/>
  <c r="F42" i="1" s="1"/>
  <c r="C84" i="2"/>
  <c r="C42" i="1" s="1"/>
  <c r="E9" i="4"/>
  <c r="C9"/>
  <c r="F19" i="6"/>
  <c r="E19" s="1"/>
  <c r="F15"/>
  <c r="E15" s="1"/>
  <c r="F14"/>
  <c r="E14" s="1"/>
  <c r="E91" i="2"/>
  <c r="F18" i="6"/>
  <c r="E18" s="1"/>
  <c r="F39" i="1" l="1"/>
  <c r="F7" i="6" s="1"/>
  <c r="E7" s="1"/>
  <c r="F71" i="1"/>
  <c r="C39"/>
  <c r="D7" i="6" s="1"/>
  <c r="D65" i="2"/>
  <c r="D76" s="1"/>
  <c r="D77" s="1"/>
  <c r="H84"/>
  <c r="G18" i="6"/>
  <c r="C76" i="2"/>
  <c r="C90"/>
  <c r="C95" s="1"/>
  <c r="C44" i="1" s="1"/>
  <c r="C43"/>
  <c r="E90" i="2"/>
  <c r="E95" s="1"/>
  <c r="F44" i="1" s="1"/>
  <c r="F8" i="6" s="1"/>
  <c r="E8" s="1"/>
  <c r="F43" i="1"/>
  <c r="D26" i="4" l="1"/>
  <c r="D22" i="3"/>
  <c r="C7" i="4"/>
  <c r="D90" i="2"/>
  <c r="D95" s="1"/>
  <c r="D44" i="1" s="1"/>
  <c r="D43"/>
  <c r="D8" i="6"/>
  <c r="C45" i="1" s="1"/>
  <c r="D13" i="6"/>
  <c r="F13"/>
  <c r="E13" s="1"/>
  <c r="C48" i="1"/>
  <c r="D79" i="2"/>
  <c r="D17" i="3" s="1"/>
  <c r="D48" i="1"/>
  <c r="D7" i="4"/>
  <c r="E7"/>
  <c r="E16" s="1"/>
  <c r="E25" s="1"/>
  <c r="E79" i="2"/>
  <c r="F48" i="1"/>
  <c r="E9" i="3" l="1"/>
  <c r="E10" s="1"/>
  <c r="E8" s="1"/>
  <c r="E17" s="1"/>
  <c r="C22"/>
  <c r="C88" i="2"/>
  <c r="D45" i="1"/>
  <c r="C104" i="2"/>
  <c r="C111" s="1"/>
  <c r="C26" i="4"/>
  <c r="D16"/>
  <c r="D25" s="1"/>
  <c r="D27" s="1"/>
  <c r="C79" i="2"/>
  <c r="C49" i="1"/>
  <c r="D64" i="4"/>
  <c r="E64"/>
  <c r="C16"/>
  <c r="C25" s="1"/>
  <c r="F45" i="1"/>
  <c r="D81" i="2"/>
  <c r="D50" i="1"/>
  <c r="D80" i="2"/>
  <c r="E80"/>
  <c r="E81"/>
  <c r="F50" i="1"/>
  <c r="E26" i="4"/>
  <c r="E27" s="1"/>
  <c r="E22" i="3"/>
  <c r="F49" i="1"/>
  <c r="E88" i="2"/>
  <c r="E104" s="1"/>
  <c r="E111" s="1"/>
  <c r="D49" i="1"/>
  <c r="D88" i="2"/>
  <c r="D104" s="1"/>
  <c r="D111" s="1"/>
  <c r="C54" i="1" l="1"/>
  <c r="C38" i="3"/>
  <c r="E20"/>
  <c r="H7"/>
  <c r="F7"/>
  <c r="G7"/>
  <c r="I7"/>
  <c r="C80" i="2"/>
  <c r="C27" i="4"/>
  <c r="C61" i="1" s="1"/>
  <c r="C81" i="2"/>
  <c r="C50" i="1"/>
  <c r="D10" i="6" s="1"/>
  <c r="C70" i="1" s="1"/>
  <c r="D51"/>
  <c r="E65" i="4"/>
  <c r="E75" s="1"/>
  <c r="F63" i="1" s="1"/>
  <c r="E21" i="3"/>
  <c r="F10" i="6"/>
  <c r="E10" s="1"/>
  <c r="F9"/>
  <c r="E9" s="1"/>
  <c r="F11"/>
  <c r="E11" s="1"/>
  <c r="D61" i="1"/>
  <c r="F61"/>
  <c r="F54"/>
  <c r="D54"/>
  <c r="D38" i="3"/>
  <c r="D58" i="1" s="1"/>
  <c r="E19" i="3" l="1"/>
  <c r="F53" i="1" s="1"/>
  <c r="C64" i="4"/>
  <c r="C75" s="1"/>
  <c r="C65"/>
  <c r="C20" i="3"/>
  <c r="D9" i="6"/>
  <c r="C69" i="1" s="1"/>
  <c r="D65" i="4"/>
  <c r="D75" s="1"/>
  <c r="D11" i="6"/>
  <c r="C51" i="1" s="1"/>
  <c r="F51"/>
  <c r="F69"/>
  <c r="F70"/>
  <c r="E38" i="3" l="1"/>
  <c r="F58" i="1" s="1"/>
  <c r="C63"/>
  <c r="C21" i="3"/>
  <c r="C19" s="1"/>
  <c r="C53" i="1" s="1"/>
  <c r="C8" i="3"/>
  <c r="C17" s="1"/>
  <c r="D63" i="1"/>
  <c r="D79" i="4"/>
  <c r="C79" l="1"/>
  <c r="C65" i="1" s="1"/>
  <c r="C75" s="1"/>
  <c r="D65"/>
  <c r="D75" s="1"/>
  <c r="C58"/>
  <c r="D80" i="4"/>
  <c r="C80" l="1"/>
  <c r="E77"/>
  <c r="E79" s="1"/>
  <c r="F60" i="1" l="1"/>
  <c r="F77" i="4"/>
  <c r="I77"/>
  <c r="E60" i="1" s="1"/>
  <c r="E80" i="4"/>
  <c r="G77"/>
  <c r="H77"/>
  <c r="F65" i="1"/>
  <c r="F75" s="1"/>
  <c r="X23" i="8" l="1"/>
  <c r="AB23"/>
  <c r="Z23"/>
  <c r="M23"/>
  <c r="O23" s="1"/>
  <c r="AD23"/>
  <c r="AE23" l="1"/>
  <c r="U23"/>
  <c r="Z25"/>
  <c r="AD25"/>
  <c r="AE25" s="1"/>
  <c r="X25"/>
  <c r="M25"/>
  <c r="AB25"/>
  <c r="X24"/>
  <c r="AB24"/>
  <c r="AD24"/>
  <c r="M24"/>
  <c r="O24" s="1"/>
  <c r="Z24"/>
  <c r="H120" i="2" l="1"/>
  <c r="G120"/>
  <c r="I120"/>
  <c r="F120"/>
  <c r="AE24" i="8"/>
  <c r="O25"/>
  <c r="O33" s="1"/>
  <c r="M33"/>
  <c r="M35" s="1"/>
  <c r="U24"/>
  <c r="X29"/>
  <c r="AB29"/>
  <c r="Z29"/>
  <c r="AD29"/>
  <c r="Z43" l="1"/>
  <c r="N33" i="2" s="1"/>
  <c r="I33" s="1"/>
  <c r="N32"/>
  <c r="I32" s="1"/>
  <c r="L32"/>
  <c r="L33"/>
  <c r="G33" s="1"/>
  <c r="K33"/>
  <c r="F33" s="1"/>
  <c r="K32"/>
  <c r="F32" s="1"/>
  <c r="J32" i="7"/>
  <c r="Y70" i="8"/>
  <c r="M32" i="2"/>
  <c r="H32" s="1"/>
  <c r="Y43" i="8"/>
  <c r="M33" i="2" s="1"/>
  <c r="H33" s="1"/>
  <c r="U25" i="8"/>
  <c r="U29"/>
  <c r="AE29"/>
  <c r="X30"/>
  <c r="AD30"/>
  <c r="AB30"/>
  <c r="Z30"/>
  <c r="F24" i="2" l="1"/>
  <c r="I24"/>
  <c r="E40" i="1" s="1"/>
  <c r="G40" s="1"/>
  <c r="H40" s="1"/>
  <c r="I40" s="1"/>
  <c r="J40" s="1"/>
  <c r="Y60" i="8"/>
  <c r="L13" i="2"/>
  <c r="G13" s="1"/>
  <c r="L32" i="7"/>
  <c r="N32"/>
  <c r="Y55" i="8"/>
  <c r="H24" i="2"/>
  <c r="G24"/>
  <c r="M13"/>
  <c r="H13" s="1"/>
  <c r="H100" s="1"/>
  <c r="K13"/>
  <c r="AE30" i="8"/>
  <c r="AE33" s="1"/>
  <c r="X33"/>
  <c r="AB33"/>
  <c r="Z33"/>
  <c r="L100" i="2"/>
  <c r="U30" i="8"/>
  <c r="U33" s="1"/>
  <c r="AD33"/>
  <c r="L14" i="2" l="1"/>
  <c r="G14" s="1"/>
  <c r="G9" s="1"/>
  <c r="N20" i="7"/>
  <c r="L20"/>
  <c r="L24"/>
  <c r="N24"/>
  <c r="K14" i="2"/>
  <c r="Y40" i="8"/>
  <c r="N13" i="2"/>
  <c r="I13" s="1"/>
  <c r="I100" s="1"/>
  <c r="M100"/>
  <c r="N100"/>
  <c r="Z40" i="8"/>
  <c r="G100" i="2"/>
  <c r="K100"/>
  <c r="F13"/>
  <c r="F100" s="1"/>
  <c r="J33" i="7"/>
  <c r="Y71" i="8"/>
  <c r="L101" i="2"/>
  <c r="G101" l="1"/>
  <c r="Z49" i="8"/>
  <c r="M14" i="2"/>
  <c r="H14" s="1"/>
  <c r="H101" s="1"/>
  <c r="M101"/>
  <c r="N14"/>
  <c r="I14" s="1"/>
  <c r="I101" s="1"/>
  <c r="H123"/>
  <c r="H36" i="3"/>
  <c r="H35" s="1"/>
  <c r="H29"/>
  <c r="H121" i="2"/>
  <c r="M102" s="1"/>
  <c r="H122"/>
  <c r="N101"/>
  <c r="G37" i="3"/>
  <c r="N33" i="7"/>
  <c r="L33"/>
  <c r="F121" i="2"/>
  <c r="K101"/>
  <c r="F14"/>
  <c r="F101" s="1"/>
  <c r="G121"/>
  <c r="L102" s="1"/>
  <c r="G122"/>
  <c r="G29" i="3"/>
  <c r="G36"/>
  <c r="G35" s="1"/>
  <c r="G123" i="2"/>
  <c r="H37" i="3"/>
  <c r="Y56" i="8"/>
  <c r="H9" i="2" l="1"/>
  <c r="H19" s="1"/>
  <c r="H65" s="1"/>
  <c r="H90" s="1"/>
  <c r="H95" s="1"/>
  <c r="H25" i="3"/>
  <c r="F37"/>
  <c r="G88" i="2"/>
  <c r="G103" s="1"/>
  <c r="G19"/>
  <c r="G65" s="1"/>
  <c r="I123"/>
  <c r="I122"/>
  <c r="I121"/>
  <c r="N102" s="1"/>
  <c r="I36" i="3"/>
  <c r="I35" s="1"/>
  <c r="I29"/>
  <c r="F9" i="2"/>
  <c r="L21" i="7"/>
  <c r="N21"/>
  <c r="Y61" i="8"/>
  <c r="F36" i="3"/>
  <c r="F35" s="1"/>
  <c r="K102" i="2"/>
  <c r="F29" i="3"/>
  <c r="F122" i="2"/>
  <c r="F123"/>
  <c r="I37" i="3"/>
  <c r="E57" i="1" s="1"/>
  <c r="G57" s="1"/>
  <c r="H57" s="1"/>
  <c r="I57" s="1"/>
  <c r="J57" s="1"/>
  <c r="G25" i="3"/>
  <c r="I9" i="2"/>
  <c r="H76" l="1"/>
  <c r="H88"/>
  <c r="H103" s="1"/>
  <c r="H104" s="1"/>
  <c r="H111" s="1"/>
  <c r="G104"/>
  <c r="G111" s="1"/>
  <c r="F25" i="3"/>
  <c r="E38" i="1"/>
  <c r="G38" s="1"/>
  <c r="H38" s="1"/>
  <c r="I38" s="1"/>
  <c r="J38" s="1"/>
  <c r="I19" i="2"/>
  <c r="N25" i="7"/>
  <c r="L25"/>
  <c r="F19" i="2"/>
  <c r="F65" s="1"/>
  <c r="F88"/>
  <c r="F103" s="1"/>
  <c r="H79"/>
  <c r="H7" i="4"/>
  <c r="H16" s="1"/>
  <c r="H25" s="1"/>
  <c r="H27" s="1"/>
  <c r="G76" i="2"/>
  <c r="G90"/>
  <c r="G95" s="1"/>
  <c r="I25" i="3"/>
  <c r="E56" i="1" s="1"/>
  <c r="G56" s="1"/>
  <c r="H56" s="1"/>
  <c r="I56" s="1"/>
  <c r="J56" s="1"/>
  <c r="H9" i="3" l="1"/>
  <c r="H20" s="1"/>
  <c r="F104" i="2"/>
  <c r="F111" s="1"/>
  <c r="E39" i="1"/>
  <c r="G7" i="6" s="1"/>
  <c r="I65" i="2"/>
  <c r="G7" i="4"/>
  <c r="G16" s="1"/>
  <c r="G25" s="1"/>
  <c r="G27" s="1"/>
  <c r="G79" i="2"/>
  <c r="H80"/>
  <c r="H81"/>
  <c r="F90"/>
  <c r="F95" s="1"/>
  <c r="F76"/>
  <c r="G39" i="1"/>
  <c r="G43" s="1"/>
  <c r="G48" s="1"/>
  <c r="G9" i="3" l="1"/>
  <c r="G10" s="1"/>
  <c r="H10"/>
  <c r="H21" s="1"/>
  <c r="H39" i="1"/>
  <c r="H43" s="1"/>
  <c r="H48" s="1"/>
  <c r="G81" i="2"/>
  <c r="G80"/>
  <c r="G49" i="1"/>
  <c r="G54" s="1"/>
  <c r="F79" i="2"/>
  <c r="F7" i="4"/>
  <c r="F16" s="1"/>
  <c r="F25" s="1"/>
  <c r="F27" s="1"/>
  <c r="I90" i="2"/>
  <c r="I95" s="1"/>
  <c r="E44" i="1" s="1"/>
  <c r="G44" s="1"/>
  <c r="H44" s="1"/>
  <c r="I44" s="1"/>
  <c r="J44" s="1"/>
  <c r="I76" i="2"/>
  <c r="I77" s="1"/>
  <c r="E43" i="1"/>
  <c r="G21" i="3" l="1"/>
  <c r="G20"/>
  <c r="H8"/>
  <c r="F9"/>
  <c r="H49" i="1"/>
  <c r="H54" s="1"/>
  <c r="E48"/>
  <c r="I7" i="4"/>
  <c r="I16" s="1"/>
  <c r="I25" s="1"/>
  <c r="G8" i="6"/>
  <c r="E45" i="1" s="1"/>
  <c r="G45" s="1"/>
  <c r="H45" s="1"/>
  <c r="I45" s="1"/>
  <c r="J45" s="1"/>
  <c r="F80" i="2"/>
  <c r="F81"/>
  <c r="G64" i="4"/>
  <c r="J39" i="1"/>
  <c r="J43" s="1"/>
  <c r="J48" s="1"/>
  <c r="I39"/>
  <c r="I43" s="1"/>
  <c r="I48" s="1"/>
  <c r="G50"/>
  <c r="F10" i="3" l="1"/>
  <c r="F21" s="1"/>
  <c r="F65" i="4" s="1"/>
  <c r="F20" i="3"/>
  <c r="F64" i="4" s="1"/>
  <c r="G8" i="3"/>
  <c r="G65" i="4"/>
  <c r="G75" s="1"/>
  <c r="G79" s="1"/>
  <c r="G80" s="1"/>
  <c r="G19" i="3"/>
  <c r="G38" s="1"/>
  <c r="H50" i="1"/>
  <c r="H53" s="1"/>
  <c r="H58" s="1"/>
  <c r="E49"/>
  <c r="I22" i="3"/>
  <c r="E54" i="1" s="1"/>
  <c r="I26" i="4"/>
  <c r="I27" s="1"/>
  <c r="I88" i="2"/>
  <c r="I103" s="1"/>
  <c r="I79"/>
  <c r="I9" i="3" s="1"/>
  <c r="G51" i="1"/>
  <c r="G53"/>
  <c r="G58" s="1"/>
  <c r="J49"/>
  <c r="J54" s="1"/>
  <c r="I49"/>
  <c r="I54" s="1"/>
  <c r="H64" i="4"/>
  <c r="H65"/>
  <c r="F8" i="3" l="1"/>
  <c r="F17" s="1"/>
  <c r="I10"/>
  <c r="I21" s="1"/>
  <c r="I20"/>
  <c r="G17"/>
  <c r="H17" s="1"/>
  <c r="I104" i="2"/>
  <c r="I111" s="1"/>
  <c r="F19" i="3"/>
  <c r="F38" s="1"/>
  <c r="F75" i="4"/>
  <c r="F79" s="1"/>
  <c r="F80" s="1"/>
  <c r="H51" i="1"/>
  <c r="H75" i="4"/>
  <c r="H79" s="1"/>
  <c r="H80" s="1"/>
  <c r="J50" i="1"/>
  <c r="J53" s="1"/>
  <c r="J58" s="1"/>
  <c r="I81" i="2"/>
  <c r="I80"/>
  <c r="E50" i="1"/>
  <c r="E61"/>
  <c r="G61" s="1"/>
  <c r="H61" s="1"/>
  <c r="I61" s="1"/>
  <c r="J61" s="1"/>
  <c r="I64" i="4"/>
  <c r="H19" i="3"/>
  <c r="H38" s="1"/>
  <c r="I50" i="1"/>
  <c r="I8" i="3" l="1"/>
  <c r="I65" i="4"/>
  <c r="I75" s="1"/>
  <c r="E63" i="1" s="1"/>
  <c r="G63" s="1"/>
  <c r="H63" s="1"/>
  <c r="I63" s="1"/>
  <c r="J63" s="1"/>
  <c r="I17" i="3"/>
  <c r="J51" i="1"/>
  <c r="I19" i="3"/>
  <c r="E82" i="1" s="1"/>
  <c r="I51"/>
  <c r="I53"/>
  <c r="I58" s="1"/>
  <c r="G11" i="6"/>
  <c r="E51" i="1" s="1"/>
  <c r="E53" l="1"/>
  <c r="I79" i="4"/>
  <c r="I38" i="3"/>
  <c r="E58" i="1" s="1"/>
  <c r="G10" i="6"/>
  <c r="E70" i="1" s="1"/>
  <c r="E76"/>
  <c r="G9" i="6" l="1"/>
  <c r="E69" i="1" s="1"/>
  <c r="E78"/>
  <c r="I80" i="4"/>
  <c r="E65" i="1"/>
  <c r="E79" l="1"/>
  <c r="G13" i="6"/>
  <c r="G14"/>
  <c r="E71" i="1" s="1"/>
  <c r="G15" i="6"/>
  <c r="G60" i="1"/>
  <c r="G65" s="1"/>
  <c r="H60" s="1"/>
  <c r="H65" s="1"/>
  <c r="I60" s="1"/>
  <c r="I65" s="1"/>
  <c r="J60" s="1"/>
  <c r="J65" s="1"/>
  <c r="E75"/>
</calcChain>
</file>

<file path=xl/comments1.xml><?xml version="1.0" encoding="utf-8"?>
<comments xmlns="http://schemas.openxmlformats.org/spreadsheetml/2006/main">
  <authors>
    <author>1235</author>
  </authors>
  <commentList>
    <comment ref="D70" authorId="0" guid="{FB6A50EE-366D-462E-BFA9-907A4E294E2E}">
      <text>
        <r>
          <rPr>
            <b/>
            <sz val="9"/>
            <color indexed="81"/>
            <rFont val="Tahoma"/>
            <family val="2"/>
            <charset val="204"/>
          </rPr>
          <t>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1235</author>
  </authors>
  <commentList>
    <comment ref="D10" authorId="0" guid="{B35CBA06-B97C-40E5-87D6-240EE75B9495}">
      <text>
        <r>
          <rPr>
            <b/>
            <sz val="9"/>
            <color indexed="81"/>
            <rFont val="Tahoma"/>
            <family val="2"/>
            <charset val="204"/>
          </rPr>
          <t>согласно контракта 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<sst xmlns="http://schemas.openxmlformats.org/spreadsheetml/2006/main" count="813" uniqueCount="563">
  <si>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</si>
  <si>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</si>
  <si>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</si>
  <si>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</si>
  <si>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</si>
  <si>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</si>
  <si>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</si>
  <si>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</si>
  <si>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</si>
  <si>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</si>
  <si>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</si>
  <si>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</si>
  <si>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</si>
  <si>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</si>
  <si>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</si>
  <si>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</si>
  <si>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</si>
  <si>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</si>
  <si>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</si>
  <si>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</si>
  <si>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</si>
  <si>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</si>
  <si>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</si>
  <si>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</si>
  <si>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</si>
  <si>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</si>
  <si>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</si>
  <si>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</si>
  <si>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</si>
  <si>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</si>
  <si>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</si>
  <si>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</si>
  <si>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</si>
  <si>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</si>
  <si>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</si>
  <si>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</si>
  <si>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</si>
  <si>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</si>
  <si>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</si>
  <si>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</si>
  <si>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</si>
  <si>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</si>
  <si>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</si>
  <si>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</si>
  <si>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</si>
  <si>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</si>
  <si>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</si>
  <si>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</si>
  <si>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</si>
  <si>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</si>
  <si>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</si>
  <si>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</si>
  <si>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</si>
  <si>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</si>
  <si>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</si>
  <si>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</si>
  <si>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</si>
  <si>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</si>
  <si>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</si>
  <si>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</si>
  <si>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</si>
  <si>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</si>
  <si>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</si>
  <si>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</si>
  <si>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</si>
  <si>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</si>
  <si>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</si>
  <si>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</si>
  <si>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</si>
  <si>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</si>
  <si>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</si>
  <si>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</si>
  <si>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</si>
  <si>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</si>
  <si>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</si>
  <si>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</si>
  <si>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</si>
  <si>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</si>
  <si>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</si>
  <si>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</si>
  <si>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</si>
  <si>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</si>
  <si>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</si>
  <si>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</si>
  <si>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</si>
  <si>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</si>
  <si>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</si>
  <si>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</si>
  <si>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</si>
  <si>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</si>
  <si>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</si>
  <si>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</si>
  <si>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</si>
  <si>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</si>
  <si>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</si>
  <si>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</si>
  <si>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</si>
  <si>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</si>
  <si>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</si>
  <si>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</si>
  <si>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</si>
  <si>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</si>
  <si>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</si>
  <si>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</si>
  <si>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</si>
  <si>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</si>
  <si>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</si>
  <si>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</si>
  <si>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</si>
  <si>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</si>
  <si>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</si>
  <si>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</si>
  <si>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</si>
  <si>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</si>
  <si>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</si>
  <si>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</si>
  <si>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</si>
  <si>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</si>
  <si>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</si>
  <si>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</si>
  <si>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</si>
  <si>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</si>
  <si>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</si>
  <si>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</si>
  <si>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</si>
  <si>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</si>
  <si>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</si>
  <si>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</si>
  <si>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</si>
  <si>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</si>
  <si>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</si>
  <si>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</si>
  <si>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</si>
  <si>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</si>
  <si>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</si>
  <si>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</si>
  <si>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</si>
  <si>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</si>
  <si>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</si>
  <si>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</si>
  <si>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</si>
  <si>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</si>
  <si>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</si>
  <si>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</si>
  <si>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</si>
  <si>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</si>
  <si>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</si>
  <si>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</si>
  <si>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</si>
  <si>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</si>
  <si>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</si>
  <si>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</si>
  <si>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</si>
  <si>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</si>
  <si>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</si>
  <si>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</si>
  <si>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</si>
  <si>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</si>
  <si>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</si>
  <si>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</si>
  <si>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</si>
  <si>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</si>
  <si>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</si>
  <si>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</si>
  <si>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</si>
  <si>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</si>
  <si>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</si>
  <si>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</si>
  <si>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</si>
  <si>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</si>
  <si>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</si>
  <si>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</si>
  <si>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</si>
  <si>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</si>
  <si>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</si>
  <si>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</si>
  <si>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</si>
  <si>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</si>
  <si>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</si>
  <si>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</si>
  <si>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</si>
  <si>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</si>
  <si>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</si>
  <si>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</si>
  <si>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</si>
  <si>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</si>
  <si>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</si>
  <si>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</si>
  <si>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</si>
  <si>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</si>
  <si>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</si>
  <si>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</si>
  <si>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</si>
  <si>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</si>
  <si>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</si>
  <si>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</si>
  <si>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</si>
  <si>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</si>
  <si>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</si>
  <si>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</si>
  <si>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</si>
  <si>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</si>
  <si>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</si>
  <si>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</si>
  <si>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</si>
  <si>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</si>
  <si>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</si>
  <si>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</si>
  <si>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</si>
  <si>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</si>
  <si>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</si>
  <si>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</si>
  <si>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</si>
  <si>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</si>
  <si>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</si>
  <si>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</si>
  <si>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</si>
  <si>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</si>
  <si>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</si>
  <si>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</si>
  <si>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</si>
  <si>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</si>
  <si>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</si>
  <si>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</si>
  <si>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</si>
  <si>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</si>
  <si>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</si>
  <si>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</si>
  <si>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</si>
  <si>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</si>
  <si>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</si>
  <si>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</si>
  <si>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</si>
  <si>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</si>
  <si>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</si>
  <si>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</si>
  <si>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</si>
  <si>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</si>
  <si>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</si>
  <si>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</si>
  <si>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</si>
  <si>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</si>
  <si>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</si>
  <si>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</si>
  <si>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</si>
  <si>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</si>
  <si>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</si>
  <si>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</si>
  <si>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</si>
  <si>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</si>
  <si>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</si>
  <si>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</si>
  <si>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</si>
  <si>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</si>
  <si>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</si>
  <si>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</si>
  <si>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</si>
  <si>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</si>
  <si>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</si>
  <si>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</si>
  <si>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</si>
  <si>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</si>
  <si>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</si>
  <si>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</si>
  <si>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</si>
  <si>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</si>
  <si>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</si>
  <si>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</si>
  <si>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</si>
  <si>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</si>
  <si>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</si>
  <si>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</si>
  <si>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</si>
  <si>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</si>
  <si>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</si>
  <si>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</si>
  <si>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</si>
  <si>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</si>
  <si>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</si>
  <si>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</si>
  <si>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</si>
  <si>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</si>
  <si>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</si>
  <si>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</si>
  <si>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</si>
  <si>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</si>
  <si>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</si>
  <si>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</si>
  <si>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</si>
  <si>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</si>
  <si>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</si>
  <si>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</si>
  <si>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</si>
  <si>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</si>
  <si>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</si>
  <si>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</si>
  <si>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</si>
  <si>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</si>
  <si>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</si>
  <si>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</si>
  <si>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</si>
  <si>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</si>
  <si>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</si>
  <si>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</si>
  <si>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</si>
  <si>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</si>
  <si>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</si>
  <si>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</si>
  <si>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</si>
  <si>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</si>
  <si>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</si>
  <si>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</si>
  <si>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</si>
  <si>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</si>
  <si>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</si>
  <si>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</si>
  <si>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</si>
  <si>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</si>
  <si>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</si>
  <si>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</si>
  <si>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</si>
  <si>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</si>
  <si>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</si>
  <si>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</si>
  <si>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</si>
  <si>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</si>
  <si>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</si>
  <si>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</si>
  <si>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</si>
  <si>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</si>
  <si>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</si>
  <si>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</si>
  <si>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</si>
  <si>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</si>
  <si>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</si>
  <si>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</si>
  <si>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</si>
  <si>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</si>
  <si>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</si>
  <si>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</si>
  <si>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</si>
  <si>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</si>
  <si>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</si>
  <si>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</si>
  <si>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</si>
  <si>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</si>
  <si>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</si>
  <si>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</si>
  <si>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</si>
  <si>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</si>
  <si>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</si>
  <si>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</si>
  <si>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</si>
  <si>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</si>
  <si>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</si>
  <si>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</si>
  <si>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</si>
  <si>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</si>
  <si>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</si>
  <si>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</si>
  <si>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</si>
  <si>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</si>
  <si>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</si>
  <si>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</si>
  <si>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</si>
  <si>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</si>
  <si>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</si>
  <si>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</si>
  <si>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</si>
  <si>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</si>
  <si>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</si>
  <si>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</si>
  <si>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</si>
  <si>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</si>
  <si>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</si>
  <si>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</si>
  <si>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</si>
  <si>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</si>
  <si>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</si>
  <si>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</si>
  <si>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</si>
  <si>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</si>
  <si>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</si>
  <si>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</si>
  <si>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</si>
  <si>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</si>
  <si>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</si>
  <si>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</si>
  <si>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</si>
  <si>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</si>
  <si>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</si>
  <si>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</si>
  <si>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</si>
  <si>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</si>
  <si>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</si>
  <si>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</si>
  <si>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</si>
  <si>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</si>
  <si>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</si>
  <si>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</si>
  <si>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</si>
  <si>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________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</si>
  <si>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</si>
  <si>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</si>
  <si>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</si>
  <si>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</si>
  <si>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</si>
  <si>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</si>
  <si>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</si>
  <si>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</si>
  <si>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</si>
  <si>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</si>
  <si>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 xml:space="preserve">      Загальна інформація про підприємство (резюме): Комунальне підприємство "Водно-спортивний комбінат" Дніпропетровської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</si>
  <si>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</si>
  <si>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</si>
  <si>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</si>
  <si>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</si>
  <si>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3050/1</t>
  </si>
  <si>
    <t>3050/2</t>
  </si>
  <si>
    <t>3060/1</t>
  </si>
  <si>
    <t>3060/2</t>
  </si>
  <si>
    <t>3310/1</t>
  </si>
  <si>
    <t>1150/2</t>
  </si>
  <si>
    <t>3470/1</t>
  </si>
  <si>
    <t>фінансування капітальних видатків</t>
  </si>
  <si>
    <t>03564217</t>
  </si>
  <si>
    <t>93.19</t>
  </si>
  <si>
    <t>Комунальне підприємство</t>
  </si>
  <si>
    <t>Інша діяльність у сфері спорту</t>
  </si>
  <si>
    <t xml:space="preserve">                           32  комунальна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</si>
  <si>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</si>
  <si>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</si>
  <si>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</si>
  <si>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</si>
  <si>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</si>
  <si>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</si>
  <si>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</si>
  <si>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</si>
  <si>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    1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</si>
  <si>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</si>
  <si>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</si>
  <si>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</si>
  <si>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</si>
  <si>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</si>
  <si>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</si>
  <si>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</si>
  <si>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</si>
  <si>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</si>
  <si>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</si>
  <si>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</si>
  <si>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</si>
  <si>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</si>
  <si>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</si>
  <si>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виготовлення плотів та стійок під човни</t>
  </si>
  <si>
    <t xml:space="preserve">ЗАТВЕРДЖЕНО  </t>
  </si>
  <si>
    <t>Рішення виконавчого комітету міської ради                                           №________ від _________________ року</t>
  </si>
  <si>
    <t>49094, м.Дніпро, Соборний  район</t>
  </si>
  <si>
    <t>м.Дніпро,  вул.Набережна Перемоги,13</t>
  </si>
  <si>
    <t xml:space="preserve">Газель А22R33-55PRO </t>
  </si>
  <si>
    <t>(дата та номер рішення виконавчого комітету міської ради)</t>
  </si>
  <si>
    <t>до Порядку складання, затвердження та контролю виконання                                          фінансових планів підприємств комунальної власності територіальної      громади міста Дніпра</t>
  </si>
  <si>
    <t>сума</t>
  </si>
  <si>
    <t>паливо</t>
  </si>
  <si>
    <t>р 1041</t>
  </si>
  <si>
    <t xml:space="preserve">         (ініціали, прізвище)  </t>
  </si>
  <si>
    <t xml:space="preserve"> цільове фінансування капітальних інвестицій, що включаються до доходів у розмірі амортизації</t>
  </si>
  <si>
    <t xml:space="preserve">             Всього:</t>
  </si>
  <si>
    <t>Комунальне підприємство  “ Водно - спортивний комбінат ” ДМР</t>
  </si>
  <si>
    <t>адм-</t>
  </si>
  <si>
    <t>себ.</t>
  </si>
  <si>
    <t>№ п/п</t>
  </si>
  <si>
    <t>Назва структурного підрозділу та посада</t>
  </si>
  <si>
    <t>Кількість штатних посад</t>
  </si>
  <si>
    <t>Посадовий оклад (грн.)</t>
  </si>
  <si>
    <t>Всего</t>
  </si>
  <si>
    <t>Доплата за нічні та святкові</t>
  </si>
  <si>
    <t>Доплата та надбавки за складність та напружність-50%</t>
  </si>
  <si>
    <t>Доплата за звання-20%-10%</t>
  </si>
  <si>
    <t>Доплата за  прибирання -10%</t>
  </si>
  <si>
    <t>Фонд заробітної плати на місяць (грн.)</t>
  </si>
  <si>
    <t>Фонд заробітної плати на рік  бюджет (грн.)</t>
  </si>
  <si>
    <t>Доплата до МЗП ,індекс.</t>
  </si>
  <si>
    <t>Фонд заробітної плати на рік бюджет           ( грн.)</t>
  </si>
  <si>
    <t>Доплата до с учетом квал.раб( премия -вл.кошти (грн)</t>
  </si>
  <si>
    <t>Грошова допом -вл.кошти (грн)</t>
  </si>
  <si>
    <t>Фонд заробітної плати на рік вл.кошти             ( грн.)</t>
  </si>
  <si>
    <t xml:space="preserve">Всего бюджет+вл.кошти </t>
  </si>
  <si>
    <t>Директор</t>
  </si>
  <si>
    <t>Заступник директора по експлуатації та обслуговування спортивних споруд</t>
  </si>
  <si>
    <t>Головний бухгалтер</t>
  </si>
  <si>
    <t>Помічник керівника по забезпеченню по організації  спортивно-оздоровчих заходів</t>
  </si>
  <si>
    <t>Провідний фахівець  зі спорту по роботі з населенням</t>
  </si>
  <si>
    <t>Головний інженер</t>
  </si>
  <si>
    <t>Головний енергетик</t>
  </si>
  <si>
    <t>Начальник водної станціі</t>
  </si>
  <si>
    <t>Начальник дистанції</t>
  </si>
  <si>
    <t>Механік</t>
  </si>
  <si>
    <t>Бухгалтер</t>
  </si>
  <si>
    <t>Провідний фахівець по налагодженню обладнання і обслуговуванню спортивних споруд</t>
  </si>
  <si>
    <t>Фахівець ІІ категорії</t>
  </si>
  <si>
    <t>Адміністратор системи</t>
  </si>
  <si>
    <t>Моторист</t>
  </si>
  <si>
    <t>Сторож</t>
  </si>
  <si>
    <t>месяц</t>
  </si>
  <si>
    <t>надбавка</t>
  </si>
  <si>
    <t>усього</t>
  </si>
  <si>
    <t>собівартість</t>
  </si>
  <si>
    <t>адміністративні</t>
  </si>
  <si>
    <t>ФОП</t>
  </si>
  <si>
    <t>ЄСВ</t>
  </si>
  <si>
    <t>фоп інвалідів с/с</t>
  </si>
  <si>
    <t>фоп інвалідів ауп</t>
  </si>
  <si>
    <t>для таб.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</si>
  <si>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</si>
  <si>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</si>
  <si>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</si>
  <si>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</si>
  <si>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</si>
  <si>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066-538-76-81, 067-650-72-71</t>
  </si>
  <si>
    <t>Заступник директора по реконструкції та розвитку спортивних споруд-начальник відділу капитального будівництва</t>
  </si>
  <si>
    <t>Електрогазозварник</t>
  </si>
  <si>
    <t>Робітник  з комплексного обслуговування й ремонту будинків</t>
  </si>
  <si>
    <t>Водій автотранспортних засобів</t>
  </si>
  <si>
    <t>Прибиральник службових приміщень</t>
  </si>
  <si>
    <t xml:space="preserve">Двірник </t>
  </si>
  <si>
    <t>Доплата до МЗП ,індекс.замена лікар.святков.</t>
  </si>
  <si>
    <t>1062/2</t>
  </si>
  <si>
    <t>HYUNDAI  ELANTRA</t>
  </si>
  <si>
    <t>Комунальне підприємство "Водно- спортивний комбінат" Дніпровської міської ради</t>
  </si>
  <si>
    <t>Середньооблікова кількість штатних працівників:                     42 чоловік</t>
  </si>
  <si>
    <t>2147/1</t>
  </si>
  <si>
    <t xml:space="preserve">заробітна плата та інші виплати робітникам, зайнятим у виробництві </t>
  </si>
  <si>
    <t xml:space="preserve">продукції,  виконанні робіт або наданні послуг,  які  можуть  бути </t>
  </si>
  <si>
    <t>безпосередньо віднесені до конкретного об'єкта витрат</t>
  </si>
  <si>
    <t xml:space="preserve">ПСБО 16 до складу  прямих  витрат  на  оплату  праці  включаються </t>
  </si>
  <si>
    <t xml:space="preserve"> утримання   апарату </t>
  </si>
  <si>
    <t xml:space="preserve">управління   підприємством   та   іншого    загальногосподарського </t>
  </si>
  <si>
    <t>персоналу;</t>
  </si>
  <si>
    <t>Рік 2021</t>
  </si>
  <si>
    <t>ФІНАНСОВИЙ ПЛАН ПІДПРИЄМСТВА НА 2021 рік</t>
  </si>
  <si>
    <t>Плановий 2021 рік</t>
  </si>
  <si>
    <t>Фактичний показник поточного року за останній звітній період 
 2020 року</t>
  </si>
  <si>
    <t>Плановий показник поточного
2020 року</t>
  </si>
  <si>
    <t>Фактичний показник за 
2019 минулий рік</t>
  </si>
  <si>
    <t>до фінансового плану на 2021 рік</t>
  </si>
  <si>
    <t>з   01.01 2021 року.</t>
  </si>
  <si>
    <t>Старший інспектор</t>
  </si>
  <si>
    <t xml:space="preserve">Доплата до МЗП </t>
  </si>
  <si>
    <t>списання основних засобів</t>
  </si>
  <si>
    <t>3030/1</t>
  </si>
  <si>
    <t>Придбання основних засобів (бони)</t>
  </si>
  <si>
    <t>План минулого року. План 2019</t>
  </si>
  <si>
    <t>Факт минулого року. Факт 2019</t>
  </si>
  <si>
    <t>План поточного року. План 2020</t>
  </si>
  <si>
    <r>
      <t xml:space="preserve">придбання </t>
    </r>
    <r>
      <rPr>
        <b/>
        <sz val="14"/>
        <rFont val="Times New Roman"/>
        <family val="1"/>
        <charset val="204"/>
      </rPr>
      <t xml:space="preserve"> бортового причепу</t>
    </r>
  </si>
  <si>
    <t>средняя зп</t>
  </si>
  <si>
    <t>умнож на 12</t>
  </si>
  <si>
    <t>единая формула</t>
  </si>
  <si>
    <t>Водно-лижний клуб Сентоза</t>
  </si>
  <si>
    <t>Заступник директора департаменту гуманітарної політики Дніпровської міської ради</t>
  </si>
  <si>
    <t>Рог В.А.</t>
  </si>
  <si>
    <t>М.П.</t>
  </si>
  <si>
    <r>
      <rPr>
        <b/>
        <sz val="16"/>
        <rFont val="Times New Roman"/>
        <family val="1"/>
        <charset val="204"/>
      </rPr>
      <t xml:space="preserve">ПОГОДЖЕНО   </t>
    </r>
    <r>
      <rPr>
        <sz val="1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</t>
    </r>
    <r>
      <rPr>
        <u/>
        <sz val="16"/>
        <rFont val="Times New Roman"/>
        <family val="1"/>
        <charset val="204"/>
      </rPr>
      <t xml:space="preserve">Заступник міського голови з питань діяльності виконавчих                     органів, директор департаменту гуманітарної політики              Дніпровської міської ради                                   </t>
    </r>
    <r>
      <rPr>
        <b/>
        <u/>
        <sz val="16"/>
        <rFont val="Times New Roman"/>
        <family val="1"/>
        <charset val="204"/>
      </rPr>
      <t xml:space="preserve">Сушко К.А. </t>
    </r>
    <r>
      <rPr>
        <u/>
        <sz val="16"/>
        <rFont val="Times New Roman"/>
        <family val="1"/>
        <charset val="204"/>
      </rPr>
      <t xml:space="preserve">         </t>
    </r>
    <r>
      <rPr>
        <sz val="16"/>
        <rFont val="Times New Roman"/>
        <family val="1"/>
        <charset val="204"/>
      </rPr>
      <t xml:space="preserve">                                     </t>
    </r>
    <r>
      <rPr>
        <sz val="12"/>
        <rFont val="Times New Roman"/>
        <family val="1"/>
        <charset val="204"/>
      </rPr>
      <t>(прізвище та ініціали та підпис заступника міського голови за напрямом діяльності  підприємства)</t>
    </r>
  </si>
</sst>
</file>

<file path=xl/styles.xml><?xml version="1.0" encoding="utf-8"?>
<styleSheet xmlns="http://schemas.openxmlformats.org/spreadsheetml/2006/main">
  <numFmts count="18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0.000"/>
    <numFmt numFmtId="179" formatCode="#,##0.000"/>
    <numFmt numFmtId="180" formatCode="_-* #,##0_₴_-;\-* #,##0_₴_-;_-* &quot;-&quot;??_₴_-;_-@_-"/>
  </numFmts>
  <fonts count="11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color rgb="FF292B2C"/>
      <name val="Consolas"/>
      <family val="3"/>
      <charset val="204"/>
    </font>
    <font>
      <b/>
      <i/>
      <sz val="10"/>
      <color rgb="FF00B0F0"/>
      <name val="Arial Cyr"/>
      <charset val="204"/>
    </font>
    <font>
      <sz val="12"/>
      <name val="Arial Cyr"/>
      <charset val="204"/>
    </font>
    <font>
      <u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  <xf numFmtId="43" fontId="2" fillId="0" borderId="0" applyFont="0" applyFill="0" applyBorder="0" applyAlignment="0" applyProtection="0"/>
  </cellStyleXfs>
  <cellXfs count="547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9" fontId="5" fillId="0" borderId="0" xfId="0" applyNumberFormat="1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vertical="top" wrapText="1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0" xfId="0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Alignment="1" applyProtection="1">
      <alignment horizontal="center" vertical="center"/>
      <protection locked="0"/>
    </xf>
    <xf numFmtId="0" fontId="71" fillId="0" borderId="0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71" fillId="0" borderId="17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69" fontId="4" fillId="0" borderId="0" xfId="0" quotePrefix="1" applyNumberFormat="1" applyFont="1" applyFill="1" applyBorder="1" applyAlignment="1" applyProtection="1">
      <alignment horizontal="center"/>
      <protection locked="0"/>
    </xf>
    <xf numFmtId="169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9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9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178" fontId="5" fillId="29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center" vertical="center" wrapText="1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9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69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69" fontId="4" fillId="31" borderId="0" xfId="0" applyNumberFormat="1" applyFont="1" applyFill="1" applyBorder="1" applyAlignment="1" applyProtection="1">
      <alignment horizontal="center"/>
      <protection locked="0"/>
    </xf>
    <xf numFmtId="169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169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3" fontId="89" fillId="33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80" fontId="102" fillId="0" borderId="0" xfId="353" applyNumberFormat="1" applyFont="1" applyFill="1" applyAlignment="1">
      <alignment vertical="center"/>
    </xf>
    <xf numFmtId="180" fontId="102" fillId="0" borderId="0" xfId="353" applyNumberFormat="1" applyFont="1" applyFill="1" applyBorder="1" applyAlignment="1">
      <alignment vertical="center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95" fillId="31" borderId="3" xfId="238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" fontId="97" fillId="31" borderId="3" xfId="238" applyNumberFormat="1" applyFont="1" applyFill="1" applyBorder="1" applyAlignment="1">
      <alignment horizontal="center" vertical="center" wrapText="1"/>
    </xf>
    <xf numFmtId="0" fontId="5" fillId="31" borderId="3" xfId="237" applyFont="1" applyFill="1" applyBorder="1" applyAlignment="1">
      <alignment horizontal="center" vertical="center"/>
    </xf>
    <xf numFmtId="169" fontId="84" fillId="31" borderId="3" xfId="237" applyNumberFormat="1" applyFont="1" applyFill="1" applyBorder="1" applyAlignment="1" applyProtection="1">
      <alignment horizontal="center" vertical="center" wrapText="1"/>
      <protection locked="0"/>
    </xf>
    <xf numFmtId="0" fontId="103" fillId="31" borderId="0" xfId="0" applyFont="1" applyFill="1" applyProtection="1">
      <protection locked="0"/>
    </xf>
    <xf numFmtId="0" fontId="12" fillId="31" borderId="0" xfId="0" applyFont="1" applyFill="1"/>
    <xf numFmtId="0" fontId="5" fillId="31" borderId="3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/>
    </xf>
    <xf numFmtId="0" fontId="12" fillId="31" borderId="0" xfId="0" applyFont="1" applyFill="1" applyProtection="1">
      <protection locked="0"/>
    </xf>
    <xf numFmtId="0" fontId="92" fillId="31" borderId="3" xfId="238" applyFont="1" applyFill="1" applyBorder="1" applyAlignment="1">
      <alignment wrapText="1"/>
    </xf>
    <xf numFmtId="0" fontId="92" fillId="31" borderId="3" xfId="238" applyFont="1" applyFill="1" applyBorder="1" applyAlignment="1">
      <alignment vertical="top" wrapText="1"/>
    </xf>
    <xf numFmtId="0" fontId="91" fillId="31" borderId="3" xfId="238" applyFont="1" applyFill="1" applyBorder="1" applyAlignment="1">
      <alignment horizontal="center"/>
    </xf>
    <xf numFmtId="0" fontId="93" fillId="31" borderId="3" xfId="238" applyFont="1" applyFill="1" applyBorder="1" applyAlignment="1">
      <alignment horizontal="center"/>
    </xf>
    <xf numFmtId="2" fontId="94" fillId="31" borderId="3" xfId="238" applyNumberFormat="1" applyFont="1" applyFill="1" applyBorder="1" applyAlignment="1">
      <alignment horizontal="center"/>
    </xf>
    <xf numFmtId="0" fontId="0" fillId="31" borderId="0" xfId="0" applyFill="1"/>
    <xf numFmtId="2" fontId="92" fillId="31" borderId="3" xfId="238" applyNumberFormat="1" applyFont="1" applyFill="1" applyBorder="1" applyAlignment="1">
      <alignment horizontal="center"/>
    </xf>
    <xf numFmtId="1" fontId="95" fillId="31" borderId="3" xfId="238" applyNumberFormat="1" applyFont="1" applyFill="1" applyBorder="1" applyAlignment="1">
      <alignment horizontal="center" vertical="center" wrapText="1"/>
    </xf>
    <xf numFmtId="1" fontId="98" fillId="31" borderId="3" xfId="238" applyNumberFormat="1" applyFont="1" applyFill="1" applyBorder="1" applyAlignment="1">
      <alignment horizontal="center" vertical="center" wrapText="1"/>
    </xf>
    <xf numFmtId="0" fontId="95" fillId="31" borderId="3" xfId="238" applyFont="1" applyFill="1" applyBorder="1" applyAlignment="1">
      <alignment vertical="center" wrapText="1"/>
    </xf>
    <xf numFmtId="0" fontId="92" fillId="31" borderId="3" xfId="238" applyFont="1" applyFill="1" applyBorder="1" applyAlignment="1">
      <alignment horizontal="center" vertical="top" wrapText="1"/>
    </xf>
    <xf numFmtId="0" fontId="92" fillId="31" borderId="3" xfId="238" applyFont="1" applyFill="1" applyBorder="1" applyAlignment="1">
      <alignment horizontal="center" vertical="center" wrapText="1"/>
    </xf>
    <xf numFmtId="1" fontId="99" fillId="31" borderId="3" xfId="238" applyNumberFormat="1" applyFont="1" applyFill="1" applyBorder="1" applyAlignment="1">
      <alignment horizontal="center" vertical="center" wrapText="1"/>
    </xf>
    <xf numFmtId="0" fontId="101" fillId="31" borderId="0" xfId="0" applyFont="1" applyFill="1"/>
    <xf numFmtId="1" fontId="0" fillId="31" borderId="0" xfId="0" applyNumberFormat="1" applyFill="1"/>
    <xf numFmtId="180" fontId="0" fillId="31" borderId="0" xfId="353" applyNumberFormat="1" applyFont="1" applyFill="1"/>
    <xf numFmtId="0" fontId="0" fillId="31" borderId="0" xfId="353" applyNumberFormat="1" applyFont="1" applyFill="1"/>
    <xf numFmtId="180" fontId="0" fillId="31" borderId="0" xfId="0" applyNumberFormat="1" applyFill="1"/>
    <xf numFmtId="0" fontId="95" fillId="35" borderId="3" xfId="238" applyFont="1" applyFill="1" applyBorder="1" applyAlignment="1">
      <alignment horizontal="center" vertical="center" wrapText="1"/>
    </xf>
    <xf numFmtId="0" fontId="95" fillId="35" borderId="3" xfId="238" applyFont="1" applyFill="1" applyBorder="1" applyAlignment="1">
      <alignment vertical="top" wrapText="1"/>
    </xf>
    <xf numFmtId="1" fontId="95" fillId="35" borderId="3" xfId="238" applyNumberFormat="1" applyFont="1" applyFill="1" applyBorder="1" applyAlignment="1">
      <alignment horizontal="center" vertical="center" wrapText="1"/>
    </xf>
    <xf numFmtId="1" fontId="97" fillId="35" borderId="3" xfId="238" applyNumberFormat="1" applyFont="1" applyFill="1" applyBorder="1" applyAlignment="1">
      <alignment horizontal="center" vertical="center" wrapText="1"/>
    </xf>
    <xf numFmtId="1" fontId="98" fillId="35" borderId="3" xfId="238" applyNumberFormat="1" applyFont="1" applyFill="1" applyBorder="1" applyAlignment="1">
      <alignment horizontal="center" vertical="center" wrapText="1"/>
    </xf>
    <xf numFmtId="0" fontId="0" fillId="35" borderId="0" xfId="0" applyFill="1"/>
    <xf numFmtId="0" fontId="95" fillId="35" borderId="3" xfId="238" applyFont="1" applyFill="1" applyBorder="1" applyAlignment="1">
      <alignment horizontal="left" vertical="center" wrapText="1"/>
    </xf>
    <xf numFmtId="0" fontId="95" fillId="35" borderId="3" xfId="238" applyFont="1" applyFill="1" applyBorder="1" applyAlignment="1">
      <alignment vertical="center" wrapText="1"/>
    </xf>
    <xf numFmtId="0" fontId="95" fillId="34" borderId="3" xfId="238" applyFont="1" applyFill="1" applyBorder="1" applyAlignment="1">
      <alignment vertical="center" wrapText="1"/>
    </xf>
    <xf numFmtId="0" fontId="104" fillId="0" borderId="0" xfId="0" applyFont="1"/>
    <xf numFmtId="49" fontId="5" fillId="31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69" fontId="5" fillId="31" borderId="3" xfId="237" applyNumberFormat="1" applyFont="1" applyFill="1" applyBorder="1" applyAlignment="1">
      <alignment horizontal="center" vertical="center" wrapText="1"/>
    </xf>
    <xf numFmtId="0" fontId="0" fillId="36" borderId="0" xfId="0" applyFill="1"/>
    <xf numFmtId="180" fontId="0" fillId="36" borderId="0" xfId="0" applyNumberFormat="1" applyFill="1"/>
    <xf numFmtId="0" fontId="105" fillId="31" borderId="0" xfId="0" applyFont="1" applyFill="1"/>
    <xf numFmtId="0" fontId="96" fillId="31" borderId="3" xfId="238" applyFont="1" applyFill="1" applyBorder="1" applyAlignment="1">
      <alignment horizontal="center" vertical="center" wrapText="1"/>
    </xf>
    <xf numFmtId="0" fontId="5" fillId="31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30" borderId="0" xfId="0" applyFill="1"/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5" fillId="31" borderId="3" xfId="0" applyNumberFormat="1" applyFont="1" applyFill="1" applyBorder="1" applyAlignment="1" applyProtection="1">
      <alignment horizontal="center" vertical="center" wrapText="1"/>
    </xf>
    <xf numFmtId="177" fontId="5" fillId="31" borderId="15" xfId="0" applyNumberFormat="1" applyFont="1" applyFill="1" applyBorder="1" applyAlignment="1" applyProtection="1">
      <alignment horizontal="center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106" fillId="30" borderId="0" xfId="0" applyNumberFormat="1" applyFont="1" applyFill="1"/>
    <xf numFmtId="4" fontId="5" fillId="31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9" fontId="4" fillId="31" borderId="3" xfId="0" applyNumberFormat="1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169" fontId="5" fillId="0" borderId="0" xfId="0" quotePrefix="1" applyNumberFormat="1" applyFont="1" applyFill="1" applyBorder="1" applyAlignment="1" applyProtection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108" fillId="0" borderId="0" xfId="0" applyFont="1" applyAlignment="1" applyProtection="1">
      <alignment horizontal="left" vertical="top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109" fillId="0" borderId="0" xfId="0" applyFont="1" applyAlignment="1" applyProtection="1">
      <alignment horizontal="right" vertical="top" wrapText="1"/>
      <protection locked="0"/>
    </xf>
    <xf numFmtId="0" fontId="87" fillId="0" borderId="0" xfId="0" applyFont="1" applyAlignment="1" applyProtection="1">
      <alignment horizontal="right" vertical="top" wrapText="1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88" fillId="0" borderId="0" xfId="0" applyFont="1" applyAlignment="1" applyProtection="1">
      <alignment horizontal="left" vertical="top" wrapText="1"/>
      <protection locked="0"/>
    </xf>
    <xf numFmtId="0" fontId="71" fillId="0" borderId="0" xfId="0" applyFont="1" applyFill="1" applyBorder="1" applyAlignment="1" applyProtection="1">
      <alignment horizontal="left" vertical="center" wrapText="1"/>
      <protection locked="0"/>
    </xf>
    <xf numFmtId="0" fontId="82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10" fillId="31" borderId="3" xfId="0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31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69" fontId="81" fillId="0" borderId="0" xfId="0" applyNumberFormat="1" applyFont="1" applyFill="1" applyBorder="1" applyAlignment="1" applyProtection="1">
      <alignment horizontal="center" vertical="center" wrapText="1"/>
      <protection locked="0"/>
    </xf>
    <xf numFmtId="169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18" xfId="237" applyNumberFormat="1" applyFont="1" applyFill="1" applyBorder="1" applyAlignment="1">
      <alignment horizontal="center" vertical="center" wrapText="1"/>
    </xf>
    <xf numFmtId="0" fontId="5" fillId="31" borderId="19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9" fontId="4" fillId="29" borderId="14" xfId="0" applyNumberFormat="1" applyFont="1" applyFill="1" applyBorder="1" applyAlignment="1" applyProtection="1">
      <alignment horizontal="center" vertical="center" wrapText="1"/>
    </xf>
    <xf numFmtId="9" fontId="4" fillId="29" borderId="16" xfId="0" applyNumberFormat="1" applyFont="1" applyFill="1" applyBorder="1" applyAlignment="1" applyProtection="1">
      <alignment horizontal="center" vertical="center" wrapText="1"/>
    </xf>
    <xf numFmtId="0" fontId="5" fillId="31" borderId="3" xfId="0" applyFont="1" applyFill="1" applyBorder="1" applyAlignment="1" applyProtection="1">
      <alignment horizontal="left" vertical="center" wrapTex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14" xfId="0" applyNumberFormat="1" applyFont="1" applyFill="1" applyBorder="1" applyAlignment="1">
      <alignment horizontal="center" vertical="center" wrapText="1"/>
    </xf>
    <xf numFmtId="0" fontId="5" fillId="31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77" fontId="5" fillId="31" borderId="15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177" fontId="5" fillId="0" borderId="14" xfId="0" applyNumberFormat="1" applyFont="1" applyFill="1" applyBorder="1" applyAlignment="1" applyProtection="1">
      <alignment wrapText="1"/>
    </xf>
    <xf numFmtId="177" fontId="5" fillId="0" borderId="16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5" fillId="31" borderId="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3" fontId="4" fillId="29" borderId="14" xfId="0" applyNumberFormat="1" applyFont="1" applyFill="1" applyBorder="1" applyAlignment="1" applyProtection="1">
      <alignment horizontal="center" vertical="center" wrapText="1"/>
    </xf>
    <xf numFmtId="3" fontId="4" fillId="29" borderId="16" xfId="0" applyNumberFormat="1" applyFont="1" applyFill="1" applyBorder="1" applyAlignment="1" applyProtection="1">
      <alignment horizontal="center" vertical="center" wrapText="1"/>
    </xf>
    <xf numFmtId="0" fontId="4" fillId="31" borderId="14" xfId="0" applyFont="1" applyFill="1" applyBorder="1" applyAlignment="1" applyProtection="1">
      <alignment horizontal="center" vertical="center" wrapText="1"/>
    </xf>
    <xf numFmtId="0" fontId="4" fillId="31" borderId="15" xfId="0" applyFont="1" applyFill="1" applyBorder="1" applyAlignment="1" applyProtection="1">
      <alignment horizontal="center" vertical="center" wrapText="1"/>
    </xf>
    <xf numFmtId="0" fontId="4" fillId="31" borderId="16" xfId="0" applyFont="1" applyFill="1" applyBorder="1" applyAlignment="1" applyProtection="1">
      <alignment horizontal="center" vertical="center" wrapText="1"/>
    </xf>
    <xf numFmtId="0" fontId="4" fillId="31" borderId="21" xfId="0" applyFont="1" applyFill="1" applyBorder="1" applyAlignment="1" applyProtection="1">
      <alignment horizontal="center" vertical="center" wrapText="1"/>
    </xf>
    <xf numFmtId="0" fontId="96" fillId="31" borderId="3" xfId="238" applyFont="1" applyFill="1" applyBorder="1" applyAlignment="1">
      <alignment horizontal="center" vertical="center" wrapText="1"/>
    </xf>
    <xf numFmtId="0" fontId="100" fillId="31" borderId="3" xfId="0" applyFont="1" applyFill="1" applyBorder="1" applyAlignment="1">
      <alignment horizontal="center" vertical="center" wrapText="1"/>
    </xf>
    <xf numFmtId="0" fontId="91" fillId="31" borderId="0" xfId="238" applyFont="1" applyFill="1" applyBorder="1" applyAlignment="1">
      <alignment horizontal="center"/>
    </xf>
    <xf numFmtId="0" fontId="94" fillId="31" borderId="3" xfId="238" applyFont="1" applyFill="1" applyBorder="1" applyAlignment="1">
      <alignment horizontal="center" vertical="center" wrapText="1"/>
    </xf>
    <xf numFmtId="0" fontId="96" fillId="31" borderId="18" xfId="238" applyFont="1" applyFill="1" applyBorder="1" applyAlignment="1">
      <alignment horizontal="center" vertical="center" wrapText="1"/>
    </xf>
    <xf numFmtId="0" fontId="2" fillId="31" borderId="24" xfId="0" applyFont="1" applyFill="1" applyBorder="1" applyAlignment="1">
      <alignment horizontal="center" vertical="center" wrapText="1"/>
    </xf>
    <xf numFmtId="0" fontId="96" fillId="31" borderId="24" xfId="238" applyFont="1" applyFill="1" applyBorder="1" applyAlignment="1">
      <alignment horizontal="center" vertical="center" wrapText="1"/>
    </xf>
    <xf numFmtId="0" fontId="96" fillId="31" borderId="19" xfId="238" applyFont="1" applyFill="1" applyBorder="1" applyAlignment="1">
      <alignment horizontal="center" vertical="center" wrapText="1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1" fontId="5" fillId="31" borderId="14" xfId="0" applyNumberFormat="1" applyFont="1" applyFill="1" applyBorder="1" applyAlignment="1">
      <alignment horizontal="center" vertical="center" wrapText="1"/>
    </xf>
    <xf numFmtId="1" fontId="5" fillId="31" borderId="15" xfId="0" applyNumberFormat="1" applyFont="1" applyFill="1" applyBorder="1" applyAlignment="1">
      <alignment horizontal="center" vertical="center" wrapText="1"/>
    </xf>
    <xf numFmtId="1" fontId="5" fillId="31" borderId="16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5" fillId="29" borderId="15" xfId="0" applyNumberFormat="1" applyFont="1" applyFill="1" applyBorder="1" applyAlignment="1">
      <alignment horizontal="center" vertical="center" wrapText="1"/>
    </xf>
    <xf numFmtId="1" fontId="5" fillId="29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29" borderId="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49" fontId="71" fillId="31" borderId="14" xfId="0" applyNumberFormat="1" applyFont="1" applyFill="1" applyBorder="1" applyAlignment="1">
      <alignment horizontal="left" vertical="center" wrapText="1"/>
    </xf>
    <xf numFmtId="49" fontId="71" fillId="31" borderId="15" xfId="0" applyNumberFormat="1" applyFont="1" applyFill="1" applyBorder="1" applyAlignment="1">
      <alignment horizontal="left" vertical="center" wrapText="1"/>
    </xf>
    <xf numFmtId="49" fontId="71" fillId="31" borderId="16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31" borderId="15" xfId="0" applyFill="1" applyBorder="1" applyAlignment="1">
      <alignment horizontal="center" vertical="center" wrapText="1"/>
    </xf>
    <xf numFmtId="0" fontId="0" fillId="31" borderId="16" xfId="0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revisionHeaders" Target="revisions/revisionHeader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14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51.xml"/><Relationship Id="rId42" Type="http://schemas.openxmlformats.org/officeDocument/2006/relationships/revisionLog" Target="revisionLog16.xml"/><Relationship Id="rId47" Type="http://schemas.openxmlformats.org/officeDocument/2006/relationships/revisionLog" Target="revisionLog17.xml"/><Relationship Id="rId50" Type="http://schemas.openxmlformats.org/officeDocument/2006/relationships/revisionLog" Target="revisionLog18.xml"/><Relationship Id="rId55" Type="http://schemas.openxmlformats.org/officeDocument/2006/relationships/revisionLog" Target="revisionLog11.xml"/><Relationship Id="rId63" Type="http://schemas.openxmlformats.org/officeDocument/2006/relationships/revisionLog" Target="revisionLog19.xml"/><Relationship Id="rId68" Type="http://schemas.openxmlformats.org/officeDocument/2006/relationships/revisionLog" Target="revisionLog110.xml"/><Relationship Id="rId76" Type="http://schemas.openxmlformats.org/officeDocument/2006/relationships/revisionLog" Target="revisionLog111.xml"/><Relationship Id="rId84" Type="http://schemas.openxmlformats.org/officeDocument/2006/relationships/revisionLog" Target="revisionLog112.xml"/><Relationship Id="rId89" Type="http://schemas.openxmlformats.org/officeDocument/2006/relationships/revisionLog" Target="revisionLog113.xml"/><Relationship Id="rId97" Type="http://schemas.openxmlformats.org/officeDocument/2006/relationships/revisionLog" Target="revisionLog114.xml"/><Relationship Id="rId7" Type="http://schemas.openxmlformats.org/officeDocument/2006/relationships/revisionLog" Target="revisionLog121.xml"/><Relationship Id="rId71" Type="http://schemas.openxmlformats.org/officeDocument/2006/relationships/revisionLog" Target="revisionLog1111.xml"/><Relationship Id="rId92" Type="http://schemas.openxmlformats.org/officeDocument/2006/relationships/revisionLog" Target="revisionLog1141.xml"/><Relationship Id="rId16" Type="http://schemas.openxmlformats.org/officeDocument/2006/relationships/revisionLog" Target="revisionLog14111.xml"/><Relationship Id="rId29" Type="http://schemas.openxmlformats.org/officeDocument/2006/relationships/revisionLog" Target="revisionLog1611.xml"/><Relationship Id="rId11" Type="http://schemas.openxmlformats.org/officeDocument/2006/relationships/revisionLog" Target="revisionLog1311.xml"/><Relationship Id="rId24" Type="http://schemas.openxmlformats.org/officeDocument/2006/relationships/revisionLog" Target="revisionLog16111.xml"/><Relationship Id="rId32" Type="http://schemas.openxmlformats.org/officeDocument/2006/relationships/revisionLog" Target="revisionLog1711.xml"/><Relationship Id="rId37" Type="http://schemas.openxmlformats.org/officeDocument/2006/relationships/revisionLog" Target="revisionLog18111.xml"/><Relationship Id="rId40" Type="http://schemas.openxmlformats.org/officeDocument/2006/relationships/revisionLog" Target="revisionLog191.xml"/><Relationship Id="rId45" Type="http://schemas.openxmlformats.org/officeDocument/2006/relationships/revisionLog" Target="revisionLog11011.xml"/><Relationship Id="rId53" Type="http://schemas.openxmlformats.org/officeDocument/2006/relationships/revisionLog" Target="revisionLog1121.xml"/><Relationship Id="rId58" Type="http://schemas.openxmlformats.org/officeDocument/2006/relationships/revisionLog" Target="revisionLog11111.xml"/><Relationship Id="rId66" Type="http://schemas.openxmlformats.org/officeDocument/2006/relationships/revisionLog" Target="revisionLog1131.xml"/><Relationship Id="rId74" Type="http://schemas.openxmlformats.org/officeDocument/2006/relationships/revisionLog" Target="revisionLog1122.xml"/><Relationship Id="rId79" Type="http://schemas.openxmlformats.org/officeDocument/2006/relationships/revisionLog" Target="revisionLog11411.xml"/><Relationship Id="rId87" Type="http://schemas.openxmlformats.org/officeDocument/2006/relationships/revisionLog" Target="revisionLog115.xml"/><Relationship Id="rId102" Type="http://schemas.openxmlformats.org/officeDocument/2006/relationships/revisionLog" Target="revisionLog12.xml"/><Relationship Id="rId5" Type="http://schemas.openxmlformats.org/officeDocument/2006/relationships/revisionLog" Target="revisionLog12111.xml"/><Relationship Id="rId61" Type="http://schemas.openxmlformats.org/officeDocument/2006/relationships/revisionLog" Target="revisionLog11311.xml"/><Relationship Id="rId82" Type="http://schemas.openxmlformats.org/officeDocument/2006/relationships/revisionLog" Target="revisionLog1151.xml"/><Relationship Id="rId90" Type="http://schemas.openxmlformats.org/officeDocument/2006/relationships/revisionLog" Target="revisionLog116.xml"/><Relationship Id="rId95" Type="http://schemas.openxmlformats.org/officeDocument/2006/relationships/revisionLog" Target="revisionLog117.xml"/><Relationship Id="rId19" Type="http://schemas.openxmlformats.org/officeDocument/2006/relationships/revisionLog" Target="revisionLog15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11.xml"/><Relationship Id="rId27" Type="http://schemas.openxmlformats.org/officeDocument/2006/relationships/revisionLog" Target="revisionLog171111.xml"/><Relationship Id="rId30" Type="http://schemas.openxmlformats.org/officeDocument/2006/relationships/revisionLog" Target="revisionLog18111111.xml"/><Relationship Id="rId35" Type="http://schemas.openxmlformats.org/officeDocument/2006/relationships/revisionLog" Target="revisionLog1911.xml"/><Relationship Id="rId43" Type="http://schemas.openxmlformats.org/officeDocument/2006/relationships/revisionLog" Target="revisionLog1101111.xml"/><Relationship Id="rId48" Type="http://schemas.openxmlformats.org/officeDocument/2006/relationships/revisionLog" Target="revisionLog112111.xml"/><Relationship Id="rId56" Type="http://schemas.openxmlformats.org/officeDocument/2006/relationships/revisionLog" Target="revisionLog114111.xml"/><Relationship Id="rId64" Type="http://schemas.openxmlformats.org/officeDocument/2006/relationships/revisionLog" Target="revisionLog11511.xml"/><Relationship Id="rId69" Type="http://schemas.openxmlformats.org/officeDocument/2006/relationships/revisionLog" Target="revisionLog112211.xml"/><Relationship Id="rId77" Type="http://schemas.openxmlformats.org/officeDocument/2006/relationships/revisionLog" Target="revisionLog1161.xml"/><Relationship Id="rId100" Type="http://schemas.openxmlformats.org/officeDocument/2006/relationships/revisionLog" Target="revisionLog122.xml"/><Relationship Id="rId8" Type="http://schemas.openxmlformats.org/officeDocument/2006/relationships/revisionLog" Target="revisionLog113111.xml"/><Relationship Id="rId51" Type="http://schemas.openxmlformats.org/officeDocument/2006/relationships/revisionLog" Target="revisionLog1131111.xml"/><Relationship Id="rId72" Type="http://schemas.openxmlformats.org/officeDocument/2006/relationships/revisionLog" Target="revisionLog11611.xml"/><Relationship Id="rId80" Type="http://schemas.openxmlformats.org/officeDocument/2006/relationships/revisionLog" Target="revisionLog1171.xml"/><Relationship Id="rId85" Type="http://schemas.openxmlformats.org/officeDocument/2006/relationships/revisionLog" Target="revisionLog1181.xml"/><Relationship Id="rId93" Type="http://schemas.openxmlformats.org/officeDocument/2006/relationships/revisionLog" Target="revisionLog1172.xml"/><Relationship Id="rId98" Type="http://schemas.openxmlformats.org/officeDocument/2006/relationships/revisionLog" Target="revisionLog118.xml"/><Relationship Id="rId3" Type="http://schemas.openxmlformats.org/officeDocument/2006/relationships/revisionLog" Target="revisionLog111111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11.xml"/><Relationship Id="rId33" Type="http://schemas.openxmlformats.org/officeDocument/2006/relationships/revisionLog" Target="revisionLog161.xml"/><Relationship Id="rId38" Type="http://schemas.openxmlformats.org/officeDocument/2006/relationships/revisionLog" Target="revisionLog171.xml"/><Relationship Id="rId46" Type="http://schemas.openxmlformats.org/officeDocument/2006/relationships/revisionLog" Target="revisionLog181.xml"/><Relationship Id="rId59" Type="http://schemas.openxmlformats.org/officeDocument/2006/relationships/revisionLog" Target="revisionLog192.xml"/><Relationship Id="rId67" Type="http://schemas.openxmlformats.org/officeDocument/2006/relationships/revisionLog" Target="revisionLog116111.xml"/><Relationship Id="rId103" Type="http://schemas.openxmlformats.org/officeDocument/2006/relationships/revisionLog" Target="revisionLog1.xml"/><Relationship Id="rId20" Type="http://schemas.openxmlformats.org/officeDocument/2006/relationships/revisionLog" Target="revisionLog15111.xml"/><Relationship Id="rId41" Type="http://schemas.openxmlformats.org/officeDocument/2006/relationships/revisionLog" Target="revisionLog1811.xml"/><Relationship Id="rId54" Type="http://schemas.openxmlformats.org/officeDocument/2006/relationships/revisionLog" Target="revisionLog1122111.xml"/><Relationship Id="rId62" Type="http://schemas.openxmlformats.org/officeDocument/2006/relationships/revisionLog" Target="revisionLog1101.xml"/><Relationship Id="rId70" Type="http://schemas.openxmlformats.org/officeDocument/2006/relationships/revisionLog" Target="revisionLog11711.xml"/><Relationship Id="rId75" Type="http://schemas.openxmlformats.org/officeDocument/2006/relationships/revisionLog" Target="revisionLog11811.xml"/><Relationship Id="rId83" Type="http://schemas.openxmlformats.org/officeDocument/2006/relationships/revisionLog" Target="revisionLog119.xml"/><Relationship Id="rId88" Type="http://schemas.openxmlformats.org/officeDocument/2006/relationships/revisionLog" Target="revisionLog1162.xml"/><Relationship Id="rId91" Type="http://schemas.openxmlformats.org/officeDocument/2006/relationships/revisionLog" Target="revisionLog11721.xml"/><Relationship Id="rId96" Type="http://schemas.openxmlformats.org/officeDocument/2006/relationships/revisionLog" Target="revisionLog1182.xml"/><Relationship Id="rId6" Type="http://schemas.openxmlformats.org/officeDocument/2006/relationships/revisionLog" Target="revisionLog12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1.xml"/><Relationship Id="rId28" Type="http://schemas.openxmlformats.org/officeDocument/2006/relationships/revisionLog" Target="revisionLog17111.xml"/><Relationship Id="rId36" Type="http://schemas.openxmlformats.org/officeDocument/2006/relationships/revisionLog" Target="revisionLog181111.xml"/><Relationship Id="rId49" Type="http://schemas.openxmlformats.org/officeDocument/2006/relationships/revisionLog" Target="revisionLog11211.xml"/><Relationship Id="rId57" Type="http://schemas.openxmlformats.org/officeDocument/2006/relationships/revisionLog" Target="revisionLog111111.xml"/><Relationship Id="rId10" Type="http://schemas.openxmlformats.org/officeDocument/2006/relationships/revisionLog" Target="revisionLog13111.xml"/><Relationship Id="rId31" Type="http://schemas.openxmlformats.org/officeDocument/2006/relationships/revisionLog" Target="revisionLog1811111.xml"/><Relationship Id="rId44" Type="http://schemas.openxmlformats.org/officeDocument/2006/relationships/revisionLog" Target="revisionLog110111.xml"/><Relationship Id="rId52" Type="http://schemas.openxmlformats.org/officeDocument/2006/relationships/revisionLog" Target="revisionLog113112.xml"/><Relationship Id="rId60" Type="http://schemas.openxmlformats.org/officeDocument/2006/relationships/revisionLog" Target="revisionLog11412.xml"/><Relationship Id="rId65" Type="http://schemas.openxmlformats.org/officeDocument/2006/relationships/revisionLog" Target="revisionLog11512.xml"/><Relationship Id="rId73" Type="http://schemas.openxmlformats.org/officeDocument/2006/relationships/revisionLog" Target="revisionLog11221.xml"/><Relationship Id="rId78" Type="http://schemas.openxmlformats.org/officeDocument/2006/relationships/revisionLog" Target="revisionLog11621.xml"/><Relationship Id="rId81" Type="http://schemas.openxmlformats.org/officeDocument/2006/relationships/revisionLog" Target="revisionLog117211.xml"/><Relationship Id="rId86" Type="http://schemas.openxmlformats.org/officeDocument/2006/relationships/revisionLog" Target="revisionLog11821.xml"/><Relationship Id="rId94" Type="http://schemas.openxmlformats.org/officeDocument/2006/relationships/revisionLog" Target="revisionLog120.xml"/><Relationship Id="rId99" Type="http://schemas.openxmlformats.org/officeDocument/2006/relationships/revisionLog" Target="revisionLog1221.xml"/><Relationship Id="rId101" Type="http://schemas.openxmlformats.org/officeDocument/2006/relationships/revisionLog" Target="revisionLog13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3" Type="http://schemas.openxmlformats.org/officeDocument/2006/relationships/revisionLog" Target="revisionLog12211.xml"/><Relationship Id="rId18" Type="http://schemas.openxmlformats.org/officeDocument/2006/relationships/revisionLog" Target="revisionLog132.xml"/><Relationship Id="rId39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guid="{286CE90D-4862-4A24-BE5F-7EF47BB5BD56}" diskRevisions="1" revisionId="1040" version="103">
  <header guid="{831ABB7F-D864-446C-A8A4-1F5D7C8389B6}" dateTime="2021-02-08T08:57:45" maxSheetId="10" userName="UserNEW" r:id="rId3" minRId="14" maxRId="1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F431D68-E0B2-4EB4-AC1A-7A2427931087}" dateTime="2021-02-08T09:08:54" maxSheetId="10" userName="UserNEW" r:id="rId4" minRId="17" maxRId="2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A66E04A-FD7F-45A6-B51E-947B2C4B3A76}" dateTime="2021-02-08T09:11:59" maxSheetId="10" userName="UserNEW" r:id="rId5" minRId="22" maxRId="2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7AC284A-31B7-4F98-B70C-E974804E7BC8}" dateTime="2021-02-08T09:26:46" maxSheetId="10" userName="UserNEW" r:id="rId6" minRId="25" maxRId="2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3409D67-73E1-40B4-A121-FE15907EE554}" dateTime="2021-02-08T09:37:13" maxSheetId="10" userName="UserNEW" r:id="rId7" minRId="29" maxRId="3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690DE83-ADD1-4624-9E7D-6318E693C2DB}" dateTime="2021-02-08T09:38:54" maxSheetId="10" userName="UserNEW" r:id="rId8" minRId="36" maxRId="3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637823A5-2F6B-4ED3-9D6E-EF304D7DA602}" dateTime="2021-02-18T11:11:00" maxSheetId="10" userName="UserNEW" r:id="rId9" minRId="38" maxRId="4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6A45973-DD80-474B-AC2D-4973130BA479}" dateTime="2021-02-18T11:34:12" maxSheetId="10" userName="UserNEW" r:id="rId10" minRId="43" maxRId="6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4685DA6-8F02-40C5-BF51-3BB82091EE31}" dateTime="2021-02-18T11:39:08" maxSheetId="10" userName="UserNEW" r:id="rId11" minRId="6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41EC9FE-CD27-4CDF-8B04-8328876EC2BF}" dateTime="2021-02-18T11:49:22" maxSheetId="10" userName="UserNEW" r:id="rId12" minRId="66" maxRId="9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AB47181-AA05-4E81-9A90-630D883D1936}" dateTime="2021-02-18T12:05:17" maxSheetId="10" userName="UserNEW" r:id="rId13" minRId="98" maxRId="10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D5330B6-B27F-47B8-8A12-D1FADC61812C}" dateTime="2021-02-18T13:09:42" maxSheetId="10" userName="UserNEW" r:id="rId1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442A676-796A-449C-BBA1-7C55E36C2396}" dateTime="2021-02-23T10:05:13" maxSheetId="10" userName="UserNEW" r:id="rId15" minRId="103" maxRId="12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9B4F6A8-412D-4D5B-8A63-5FB04EE877B0}" dateTime="2021-02-23T10:05:55" maxSheetId="10" userName="UserNEW" r:id="rId16" minRId="127" maxRId="12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1D275638-8CCE-4879-AA92-A01E7BD76A4E}" dateTime="2021-02-23T10:06:29" maxSheetId="10" userName="UserNEW" r:id="rId17" minRId="129" maxRId="13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8DFDF95-83C3-472D-A42A-BE3B0FCDCDA5}" dateTime="2021-02-23T10:08:03" maxSheetId="10" userName="UserNEW" r:id="rId18" minRId="135" maxRId="14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A924851-2E3B-448F-8EEA-D52AC55EEADE}" dateTime="2021-02-23T10:08:19" maxSheetId="10" userName="UserNEW" r:id="rId19" minRId="142" maxRId="14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5FFAA89-07C2-4AC4-A290-8164073809CE}" dateTime="2021-02-23T10:17:47" maxSheetId="10" userName="UserNEW" r:id="rId20" minRId="144" maxRId="15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1A72054F-9202-4E0A-B5C3-504ACEBA631F}" dateTime="2021-02-23T10:18:41" maxSheetId="10" userName="UserNEW" r:id="rId21" minRId="151" maxRId="15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CE78AB9-01CD-43F0-AE19-E547953DEDB7}" dateTime="2021-02-23T10:22:29" maxSheetId="10" userName="UserNEW" r:id="rId22" minRId="15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7294811-8662-4508-9F5F-99E020BD3EA1}" dateTime="2021-02-23T10:24:15" maxSheetId="10" userName="UserNEW" r:id="rId23" minRId="156" maxRId="16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3DDAF6A-2C0F-4CF9-8AA6-A81E5921D24F}" dateTime="2021-02-23T10:26:13" maxSheetId="10" userName="UserNEW" r:id="rId24" minRId="162" maxRId="17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1AD2964-E514-4C01-BC88-0B907CD197CB}" dateTime="2021-02-23T10:50:49" maxSheetId="10" userName="UserNEW" r:id="rId25" minRId="174" maxRId="19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1E3F4D3F-8812-4529-83BE-1F6621B27FA9}" dateTime="2021-02-23T10:59:48" maxSheetId="10" userName="UserNEW" r:id="rId26" minRId="199" maxRId="20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08B9D1B-8C3E-4631-B764-6444CC58CD3C}" dateTime="2021-02-23T11:39:17" maxSheetId="10" userName="UserNEW" r:id="rId27" minRId="201" maxRId="20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C5B7347-09B2-4DB3-9730-605A2B410350}" dateTime="2021-02-23T11:48:17" maxSheetId="10" userName="UserNEW" r:id="rId28" minRId="203" maxRId="20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7C20019-A0FC-4FE8-B5AE-C73601907E12}" dateTime="2021-02-23T11:59:29" maxSheetId="10" userName="UserNEW" r:id="rId29" minRId="209" maxRId="21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568FD9D-037C-4D69-8E69-43008C94BDB4}" dateTime="2021-02-23T12:06:05" maxSheetId="10" userName="UserNEW" r:id="rId30" minRId="219" maxRId="22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60372DEE-0668-4995-B3CB-86AC6BCC79AC}" dateTime="2021-02-23T12:07:26" maxSheetId="10" userName="UserNEW" r:id="rId31" minRId="228" maxRId="23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C5A939A-320A-43E7-9276-9ACA93E214E0}" dateTime="2021-02-23T12:32:58" maxSheetId="10" userName="UserNEW" r:id="rId3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9E75968-B210-41E5-8230-B2F708A913F5}" dateTime="2021-02-23T13:19:11" maxSheetId="10" userName="UserNEW" r:id="rId33" minRId="258" maxRId="26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175057C-7117-421F-8F09-C14E8016311F}" dateTime="2021-02-23T13:19:15" maxSheetId="10" userName="UserNEW" r:id="rId3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CCAD223-EC72-4DB0-A88E-ED8707DF60B8}" dateTime="2021-02-23T13:40:58" maxSheetId="10" userName="UserNEW" r:id="rId3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E4A9502-1094-4745-9202-28DCF220C464}" dateTime="2021-02-23T13:43:39" maxSheetId="10" userName="UserNEW" r:id="rId36" minRId="301" maxRId="30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6D95883-BE84-4654-9598-9BEF7CBC27CD}" dateTime="2021-02-23T13:43:49" maxSheetId="10" userName="UserNEW" r:id="rId3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9B8EDC2-164F-412C-907B-650F41330AB3}" dateTime="2021-02-23T13:44:16" maxSheetId="10" userName="UserNEW" r:id="rId38" minRId="335" maxRId="33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DEBEB5F-8FAB-43BF-AB03-18C8AE8DBFEB}" dateTime="2021-02-23T14:22:26" maxSheetId="10" userName="UserNEW" r:id="rId39" minRId="352" maxRId="35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ED5A862-81FB-4888-BA82-2495CCBF8846}" dateTime="2021-02-23T14:22:41" maxSheetId="10" userName="UserNEW" r:id="rId4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6581167-A774-4F8E-9FCC-A5FE1B831FAD}" dateTime="2021-02-23T14:23:50" maxSheetId="10" userName="UserNEW" r:id="rId4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DC35FD8-CA4F-4E64-AA71-E525155F4CB6}" dateTime="2021-02-23T14:24:08" maxSheetId="10" userName="UserNEW" r:id="rId4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1D89EC3-4467-4C4F-98A9-2AB4A16C93B3}" dateTime="2021-02-25T15:10:57" maxSheetId="10" userName="Admin" r:id="rId43" minRId="410" maxRId="47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66C79E0-C0B8-4999-AE2D-563CF5E035CA}" dateTime="2021-02-25T16:03:24" maxSheetId="10" userName="Admin" r:id="rId44" minRId="491" maxRId="50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FC616C1-80F2-4774-ABC0-116B6AAFB5AD}" dateTime="2021-02-26T09:04:59" maxSheetId="10" userName="UserNEW" r:id="rId4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7E7CBF3-1D4E-46F5-B205-D7D5742F37C9}" dateTime="2021-02-26T09:17:07" maxSheetId="10" userName="UserNEW" r:id="rId46" minRId="534" maxRId="53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B62404B-68C1-4F53-A1ED-F7B79199B2C1}" dateTime="2021-02-26T09:26:34" maxSheetId="10" userName="UserNEW" r:id="rId47" minRId="537" maxRId="53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52C3169-3830-4346-988A-AFF90B44F476}" dateTime="2021-02-26T09:27:06" maxSheetId="10" userName="UserNEW" r:id="rId4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C71FA06-A36C-4D2D-9A1B-7ED350C0F728}" dateTime="2021-02-26T09:27:29" maxSheetId="10" userName="UserNEW" r:id="rId4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7C0F6DA-0267-4E10-ADBD-9E3F4A6F2D92}" dateTime="2021-02-26T09:28:28" maxSheetId="10" userName="UserNEW" r:id="rId5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BE5A0E0-CD0F-4A7C-BA4D-AF08DA8CDC07}" dateTime="2021-02-26T09:34:49" maxSheetId="10" userName="UserNEW" r:id="rId51" minRId="539" maxRId="54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CE7D5F9-DA47-44E2-86E8-07F9DA3CBF94}" dateTime="2021-02-26T09:36:04" maxSheetId="10" userName="UserNEW" r:id="rId52" minRId="545" maxRId="55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ADE81E4-DA39-4DAF-A9B1-00F1CA14CFB3}" dateTime="2021-02-26T09:37:34" maxSheetId="10" userName="UserNEW" r:id="rId5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794B21D-93A4-42EF-9856-68B26E8A0383}" dateTime="2021-02-26T09:37:56" maxSheetId="10" userName="UserNEW" r:id="rId5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F40D656-B0BF-4D5D-9A5E-40AE446417E1}" dateTime="2021-02-26T09:40:34" maxSheetId="10" userName="UserNEW" r:id="rId55" minRId="578" maxRId="58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6971C3D-D818-4CD4-8106-D1A171EF309D}" dateTime="2021-02-26T09:40:43" maxSheetId="10" userName="UserNEW" r:id="rId5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0051A40-7D08-4C05-B958-7745F41BB9A6}" dateTime="2021-02-26T09:41:39" maxSheetId="10" userName="UserNEW" r:id="rId57" minRId="58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3B5D99CD-33AE-4D33-BFB1-96A21B9F69FB}" dateTime="2021-02-26T09:41:49" maxSheetId="10" userName="UserNEW" r:id="rId5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DD3BC87-F96F-47A2-9E03-D0C0ABD01AB5}" dateTime="2021-02-26T16:16:10" maxSheetId="10" userName="Admin" r:id="rId59" minRId="587" maxRId="62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9B76FBE-2AA5-4A93-8FB9-15E32F775B72}" dateTime="2021-02-26T16:46:41" maxSheetId="10" userName="Admin" r:id="rId60" minRId="637" maxRId="69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14DD284-359D-42CB-81C4-D02BD4C1DC40}" dateTime="2021-03-01T11:39:22" maxSheetId="10" userName="UserNEW" r:id="rId61" minRId="708" maxRId="71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F49F2CD7-BBB2-4735-8AEB-EB313D93D118}" dateTime="2021-03-01T11:50:50" maxSheetId="10" userName="UserNEW" r:id="rId62" minRId="724" maxRId="72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2926B33-C823-45AF-965C-3913F9F19E99}" dateTime="2021-03-01T11:51:23" maxSheetId="10" userName="UserNEW" r:id="rId6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33B6D5B-16DA-4B32-A821-EA97B6016C35}" dateTime="2021-03-01T11:55:38" maxSheetId="10" userName="UserNEW" r:id="rId64" minRId="727" maxRId="73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FE029C1-8057-44C3-ABEB-F7A271764165}" dateTime="2021-03-01T11:56:25" maxSheetId="10" userName="UserNEW" r:id="rId65" minRId="732" maxRId="73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C09B38D-07BD-4691-8B06-64D06A50AFD4}" dateTime="2021-03-01T11:56:51" maxSheetId="10" userName="UserNEW" r:id="rId66" minRId="738" maxRId="74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FC8BA20-2D13-456F-AAD0-11E126C63254}" dateTime="2021-03-01T11:59:44" maxSheetId="10" userName="UserNEW" r:id="rId67" minRId="741" maxRId="74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1F9AEFD-D704-4D5A-8196-5418F4FB4FBD}" dateTime="2021-03-01T12:00:16" maxSheetId="10" userName="UserNEW" r:id="rId68" minRId="743" maxRId="74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AF90BA0-4984-4146-A829-8E17CF9085DC}" dateTime="2021-03-01T12:00:53" maxSheetId="10" userName="UserNEW" r:id="rId69" minRId="748" maxRId="75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F02684A-AF47-47D7-94A4-44AAC9DFB306}" dateTime="2021-03-01T12:01:18" maxSheetId="10" userName="UserNEW" r:id="rId7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AFF3E1E-D005-447A-8FD8-04195F2DAE57}" dateTime="2021-03-01T12:02:25" maxSheetId="10" userName="UserNEW" r:id="rId7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5157FAD-8458-4E9E-84C6-A9AC5C66B995}" dateTime="2021-03-01T12:06:32" maxSheetId="10" userName="UserNEW" r:id="rId72" minRId="754" maxRId="75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FD55E192-DC3F-469D-AE3D-FE1437F8E4D6}" dateTime="2021-03-01T12:09:10" maxSheetId="10" userName="UserNEW" r:id="rId73" minRId="759" maxRId="76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1ED20F3-AE39-4389-942A-97C1F2C3F661}" dateTime="2021-03-01T12:09:36" maxSheetId="10" userName="UserNEW" r:id="rId7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06EF770-0853-4687-84BE-FF5EEB77029A}" dateTime="2021-03-01T12:34:22" maxSheetId="10" userName="UserNEW" r:id="rId75" minRId="76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8BC4169-F46C-4469-ABDA-552C7265D689}" dateTime="2021-03-01T12:53:18" maxSheetId="10" userName="UserNEW" r:id="rId76" minRId="762" maxRId="76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A4742E2-7011-4AF7-A2B4-3FE008F91F5F}" dateTime="2021-03-01T12:53:28" maxSheetId="10" userName="UserNEW" r:id="rId7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FCA05241-3263-42B0-A0EB-D9B3DE1B313C}" dateTime="2021-03-01T12:56:35" maxSheetId="10" userName="UserNEW" r:id="rId78" minRId="766" maxRId="76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4D164C4-E9BE-44BC-8CC6-8390A84A4EA4}" dateTime="2021-03-01T12:57:41" maxSheetId="10" userName="UserNEW" r:id="rId79" minRId="77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86C3D6A-94C8-407C-AF43-5C7153E12D68}" dateTime="2021-03-01T12:59:01" maxSheetId="10" userName="UserNEW" r:id="rId80" minRId="77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95987DE-BB8D-43DE-A082-7989044DA19F}" dateTime="2021-03-01T15:04:31" maxSheetId="10" userName="Admin" r:id="rId81" minRId="772" maxRId="78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2CBC721-10A5-4925-B254-3592EA7F5E9A}" dateTime="2021-03-01T15:54:21" maxSheetId="10" userName="UserNEW" r:id="rId8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114C0AB-AE1C-47AB-8293-A061F55AD4A1}" dateTime="2021-03-02T14:16:43" maxSheetId="10" userName="UserNEW" r:id="rId83" minRId="813" maxRId="81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EE4A191-83CA-44FD-89CC-62EEE8B949D6}" dateTime="2021-03-02T14:37:00" maxSheetId="10" userName="UserNEW" r:id="rId84" minRId="81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C9725E35-8F9A-4E58-A514-75FCE9752CEA}" dateTime="2021-03-02T14:54:00" maxSheetId="10" userName="UserNEW" r:id="rId85" minRId="816" maxRId="82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9323850-04B6-4DCA-A858-62D74A7D34AB}" dateTime="2021-03-02T15:02:19" maxSheetId="10" userName="UserNEW" r:id="rId86" minRId="822" maxRId="82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FB9BE13D-324E-459E-8623-7BA849A8A0C0}" dateTime="2021-03-02T15:25:12" maxSheetId="10" userName="UserNEW" r:id="rId87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4DEA2386-8F68-4861-AED2-2C2F577E6D59}" dateTime="2021-03-03T10:54:50" maxSheetId="10" userName="Admin" r:id="rId88" minRId="825" maxRId="84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E39DEFC2-4798-4BAB-A27D-FC61C9B7ABAF}" dateTime="2021-03-03T11:15:26" maxSheetId="10" userName="Admin" r:id="rId89" minRId="862" maxRId="89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7E569FAC-38AF-4057-8E9A-974B3FB7B67D}" dateTime="2021-03-03T11:40:18" maxSheetId="10" userName="UserNEW" r:id="rId9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0B94DD65-BB5D-4320-8B5A-4BEB6E69F79F}" dateTime="2021-03-03T11:55:19" maxSheetId="10" userName="UserNEW" r:id="rId91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A47AE494-F4CD-4AD5-A57C-48D9B9DB3863}" dateTime="2021-03-03T12:03:59" maxSheetId="10" userName="UserNEW" r:id="rId92" minRId="926" maxRId="929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143A5E3-BB9A-408D-B5B5-6FDA08C8E655}" dateTime="2021-03-03T12:05:42" maxSheetId="10" userName="UserNEW" r:id="rId93" minRId="93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FFF801E6-17C8-4F22-B37D-F9A27F2DF751}" dateTime="2021-03-03T12:12:08" maxSheetId="10" userName="UserNEW" r:id="rId94" minRId="931" maxRId="93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8F26BB0B-8832-42E4-8447-373D931BF9F8}" dateTime="2021-03-03T12:21:43" maxSheetId="10" userName="Admin" r:id="rId95" minRId="936" maxRId="938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DEFB7701-E86A-4CE0-9E95-775B0EF858AF}" dateTime="2021-03-03T13:00:28" maxSheetId="10" userName="UserNEW" r:id="rId9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662727D2-256D-43F0-86B4-EE7A6E9E6429}" dateTime="2021-03-03T13:41:47" maxSheetId="10" userName="UserNEW" r:id="rId97" minRId="965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9C6110E1-CCBC-41F4-ACB5-E4A7D193B33A}" dateTime="2021-03-03T13:48:29" maxSheetId="10" userName="UserNEW" r:id="rId98" minRId="966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A1E268D-4E32-4FEA-8838-DC10E6BC3A40}" dateTime="2021-03-03T13:51:58" maxSheetId="10" userName="UserNEW" r:id="rId99" minRId="980" maxRId="98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6E03F0B-75AE-4B99-B5F4-7728051300C9}" dateTime="2021-03-03T13:58:27" maxSheetId="10" userName="UserNEW" r:id="rId100" minRId="997" maxRId="1000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570D4EBC-3FDC-43EC-A521-C92034705328}" dateTime="2021-03-03T13:58:56" maxSheetId="10" userName="UserNEW" r:id="rId101" minRId="1014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BAFF725C-9CE5-47D0-A867-71D674698536}" dateTime="2021-03-03T13:59:05" maxSheetId="10" userName="UserNEW" r:id="rId102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  <header guid="{286CE90D-4862-4A24-BE5F-7EF47BB5BD56}" dateTime="2021-03-03T14:00:47" maxSheetId="10" userName="UserNEW" r:id="rId103">
    <sheetIdMap count="9">
      <sheetId val="1"/>
      <sheetId val="2"/>
      <sheetId val="3"/>
      <sheetId val="4"/>
      <sheetId val="5"/>
      <sheetId val="6"/>
      <sheetId val="7"/>
      <sheetId val="8"/>
      <sheetId val="9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E73:E82">
    <dxf>
      <fill>
        <patternFill>
          <bgColor rgb="FFFFFF00"/>
        </patternFill>
      </fill>
    </dxf>
  </rfmt>
  <rfmt sheetId="1" sqref="E73:E82">
    <dxf>
      <fill>
        <patternFill>
          <bgColor rgb="FFFFFF99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578" sId="1" numFmtId="4">
    <oc r="F83">
      <v>1198</v>
    </oc>
    <nc r="F83">
      <v>1586</v>
    </nc>
  </rcc>
  <rcc rId="579" sId="1" numFmtId="4">
    <oc r="F80">
      <f>SUM(F78:F79)</f>
    </oc>
    <nc r="F80">
      <v>41053</v>
    </nc>
  </rcc>
  <rcc rId="580" sId="1" numFmtId="4">
    <oc r="F79">
      <v>4074</v>
    </oc>
    <nc r="F79">
      <v>41053</v>
    </nc>
  </rcc>
  <rcc rId="581" sId="1" numFmtId="4">
    <oc r="F78">
      <v>11820</v>
    </oc>
    <nc r="F78"/>
  </rcc>
  <rcc rId="582" sId="1" numFmtId="4">
    <oc r="F77">
      <f>F74+F75</f>
    </oc>
    <nc r="F77">
      <v>43439</v>
    </nc>
  </rcc>
  <rcc rId="583" sId="1" numFmtId="4">
    <oc r="F74">
      <v>15392</v>
    </oc>
    <nc r="F74">
      <v>40502</v>
    </nc>
  </rcc>
  <rcc rId="584" sId="1" numFmtId="4">
    <oc r="F75">
      <v>1700</v>
    </oc>
    <nc r="F75">
      <v>2137</v>
    </nc>
  </rcc>
  <rcc rId="585" sId="1" numFmtId="4">
    <oc r="F76">
      <f>'ІІІ. Рух грош. коштів'!E79</f>
    </oc>
    <nc r="F76">
      <v>808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>
  <rcc rId="743" sId="7" numFmtId="34">
    <oc r="D19">
      <v>350</v>
    </oc>
    <nc r="D19">
      <v>272</v>
    </nc>
  </rcc>
  <rcc rId="744" sId="7" numFmtId="34">
    <oc r="D20">
      <v>1711</v>
    </oc>
    <nc r="D20">
      <v>1145</v>
    </nc>
  </rcc>
  <rcc rId="745" sId="7" numFmtId="34">
    <oc r="D21">
      <v>3837</v>
    </oc>
    <nc r="D21">
      <v>3099</v>
    </nc>
  </rcc>
  <rcc rId="746" sId="7" numFmtId="34">
    <oc r="D23">
      <v>426</v>
    </oc>
    <nc r="D23">
      <v>332</v>
    </nc>
  </rcc>
  <rcc rId="747" sId="7" numFmtId="34">
    <oc r="D24">
      <v>2034</v>
    </oc>
    <nc r="D24">
      <v>1375</v>
    </nc>
  </rcc>
  <rfmt sheetId="7" sqref="D19:E21">
    <dxf>
      <fill>
        <patternFill>
          <bgColor rgb="FF92D050"/>
        </patternFill>
      </fill>
    </dxf>
  </rfmt>
  <rfmt sheetId="7" sqref="D23:E25">
    <dxf>
      <fill>
        <patternFill>
          <bgColor rgb="FF92D050"/>
        </patternFill>
      </fill>
    </dxf>
  </rfmt>
</revisions>
</file>

<file path=xl/revisions/revisionLog1101.xml><?xml version="1.0" encoding="utf-8"?>
<revisions xmlns="http://schemas.openxmlformats.org/spreadsheetml/2006/main" xmlns:r="http://schemas.openxmlformats.org/officeDocument/2006/relationships">
  <rcc rId="724" sId="7" numFmtId="34">
    <oc r="H21">
      <v>3837</v>
    </oc>
    <nc r="H21">
      <v>2837</v>
    </nc>
  </rcc>
  <rfmt sheetId="7" sqref="H19:I21">
    <dxf>
      <fill>
        <patternFill>
          <bgColor rgb="FF92D050"/>
        </patternFill>
      </fill>
    </dxf>
  </rfmt>
  <rfmt sheetId="7" sqref="H23:I25">
    <dxf>
      <fill>
        <patternFill>
          <bgColor rgb="FF92D050"/>
        </patternFill>
      </fill>
    </dxf>
  </rfmt>
  <rfmt sheetId="7" sqref="H9:I9">
    <dxf>
      <fill>
        <patternFill>
          <bgColor rgb="FF92D050"/>
        </patternFill>
      </fill>
    </dxf>
  </rfmt>
  <rcc rId="725" sId="7" numFmtId="34">
    <oc r="H28">
      <v>10084</v>
    </oc>
    <nc r="H28">
      <v>9450</v>
    </nc>
  </rcc>
  <rcc rId="726" sId="7" numFmtId="34">
    <oc r="H29">
      <v>3493</v>
    </oc>
    <nc r="H29">
      <v>2750</v>
    </nc>
  </rcc>
  <rfmt sheetId="7" sqref="H27:I29">
    <dxf>
      <fill>
        <patternFill>
          <bgColor rgb="FF92D050"/>
        </patternFill>
      </fill>
    </dxf>
  </rfmt>
</revisions>
</file>

<file path=xl/revisions/revisionLog11011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10111.xml><?xml version="1.0" encoding="utf-8"?>
<revisions xmlns="http://schemas.openxmlformats.org/spreadsheetml/2006/main" xmlns:r="http://schemas.openxmlformats.org/officeDocument/2006/relationships">
  <rfmt sheetId="1" sqref="C74:D83">
    <dxf>
      <fill>
        <patternFill>
          <bgColor rgb="FFFF0000"/>
        </patternFill>
      </fill>
    </dxf>
  </rfmt>
  <rfmt sheetId="1" sqref="F74:F83">
    <dxf>
      <fill>
        <patternFill>
          <bgColor rgb="FFFF0000"/>
        </patternFill>
      </fill>
    </dxf>
  </rfmt>
  <rcc rId="491" sId="2">
    <oc r="C65">
      <f>C19+C20-C24-C49-C56</f>
    </oc>
    <nc r="C65">
      <f>C19+C20-C24-C49-C56</f>
    </nc>
  </rcc>
  <rfmt sheetId="2" sqref="F99:H99">
    <dxf>
      <fill>
        <patternFill>
          <bgColor theme="0"/>
        </patternFill>
      </fill>
    </dxf>
  </rfmt>
  <rfmt sheetId="3" sqref="D20:D21">
    <dxf>
      <fill>
        <patternFill>
          <bgColor rgb="FFFF0000"/>
        </patternFill>
      </fill>
    </dxf>
  </rfmt>
  <rfmt sheetId="3" sqref="F22">
    <dxf>
      <fill>
        <patternFill>
          <bgColor rgb="FFFF0000"/>
        </patternFill>
      </fill>
    </dxf>
  </rfmt>
  <rfmt sheetId="4" sqref="C14:C15">
    <dxf>
      <fill>
        <patternFill patternType="solid">
          <bgColor rgb="FFFF0000"/>
        </patternFill>
      </fill>
    </dxf>
  </rfmt>
  <rcc rId="492" sId="4" numFmtId="4">
    <oc r="C18">
      <v>-18</v>
    </oc>
    <nc r="C18">
      <v>-17</v>
    </nc>
  </rcc>
  <rfmt sheetId="4" sqref="C18">
    <dxf>
      <fill>
        <patternFill patternType="solid">
          <bgColor rgb="FF92D050"/>
        </patternFill>
      </fill>
    </dxf>
  </rfmt>
  <rcc rId="493" sId="4" numFmtId="4">
    <nc r="C15">
      <v>158</v>
    </nc>
  </rcc>
  <rcc rId="494" sId="4" numFmtId="4">
    <oc r="C14">
      <v>159</v>
    </oc>
    <nc r="C14">
      <v>0</v>
    </nc>
  </rcc>
  <rfmt sheetId="4" sqref="C14:C15">
    <dxf>
      <fill>
        <patternFill>
          <bgColor rgb="FF92D050"/>
        </patternFill>
      </fill>
    </dxf>
  </rfmt>
  <rcc rId="495" sId="4">
    <oc r="C12">
      <f>C13+C14</f>
    </oc>
    <nc r="C12">
      <f>C13+C14+C15</f>
    </nc>
  </rcc>
  <rfmt sheetId="4" sqref="C12">
    <dxf>
      <fill>
        <patternFill patternType="solid">
          <bgColor rgb="FF92D050"/>
        </patternFill>
      </fill>
    </dxf>
  </rfmt>
  <rcc rId="496" sId="6" numFmtId="4">
    <oc r="E7">
      <v>-106.46889163576432</v>
    </oc>
    <nc r="E7">
      <f>F7</f>
    </nc>
  </rcc>
  <rcc rId="497" sId="6" numFmtId="4">
    <oc r="E8">
      <v>12.73176761433869</v>
    </oc>
    <nc r="E8">
      <f>F8</f>
    </nc>
  </rcc>
  <rcc rId="498" sId="6" odxf="1" dxf="1" numFmtId="4">
    <oc r="E9">
      <v>1.2668724374625697E-3</v>
    </oc>
    <nc r="E9">
      <f>F9</f>
    </nc>
    <odxf>
      <numFmt numFmtId="180" formatCode="#,##0.000"/>
    </odxf>
    <ndxf>
      <numFmt numFmtId="170" formatCode="#,##0.0"/>
    </ndxf>
  </rcc>
  <rcc rId="499" sId="6" odxf="1" dxf="1" numFmtId="4">
    <oc r="E10">
      <v>6.6187050359712229E-2</v>
    </oc>
    <nc r="E10">
      <f>F10</f>
    </nc>
    <odxf>
      <numFmt numFmtId="4" formatCode="#,##0.00"/>
    </odxf>
    <ndxf>
      <numFmt numFmtId="170" formatCode="#,##0.0"/>
    </ndxf>
  </rcc>
  <rcc rId="500" sId="6" odxf="1" dxf="1" numFmtId="4">
    <oc r="E11">
      <v>2.266172229089411E-2</v>
    </oc>
    <nc r="E11">
      <f>F11</f>
    </nc>
    <odxf>
      <numFmt numFmtId="4" formatCode="#,##0.00"/>
    </odxf>
    <ndxf>
      <numFmt numFmtId="170" formatCode="#,##0.0"/>
    </ndxf>
  </rcc>
  <rfmt sheetId="6" sqref="E12" start="0" length="0">
    <dxf>
      <protection locked="1"/>
    </dxf>
  </rfmt>
  <rcc rId="501" sId="6" odxf="1" dxf="1" numFmtId="4">
    <oc r="E13">
      <v>135.49190938511327</v>
    </oc>
    <nc r="E13">
      <f>F13</f>
    </nc>
    <odxf>
      <numFmt numFmtId="4" formatCode="#,##0.00"/>
    </odxf>
    <ndxf>
      <numFmt numFmtId="170" formatCode="#,##0.0"/>
    </ndxf>
  </rcc>
  <rcc rId="502" sId="6" odxf="1" dxf="1" numFmtId="4">
    <oc r="E14">
      <v>3.695034275204815E-2</v>
    </oc>
    <nc r="E14">
      <f>F14</f>
    </nc>
    <odxf>
      <numFmt numFmtId="4" formatCode="#,##0.00"/>
    </odxf>
    <ndxf>
      <numFmt numFmtId="170" formatCode="#,##0.0"/>
    </ndxf>
  </rcc>
  <rcc rId="503" sId="6" odxf="1" dxf="1" numFmtId="4">
    <oc r="E15">
      <v>6.0193710391008008E-2</v>
    </oc>
    <nc r="E15">
      <f>F15</f>
    </nc>
    <odxf>
      <numFmt numFmtId="4" formatCode="#,##0.00"/>
    </odxf>
    <ndxf>
      <numFmt numFmtId="170" formatCode="#,##0.0"/>
    </ndxf>
  </rcc>
  <rfmt sheetId="6" sqref="E16" start="0" length="0">
    <dxf>
      <protection locked="1"/>
    </dxf>
  </rfmt>
  <rcc rId="504" sId="6" odxf="1" dxf="1" numFmtId="4">
    <oc r="E17">
      <v>0.84599999999999997</v>
    </oc>
    <nc r="E17">
      <f>F17</f>
    </nc>
    <odxf>
      <numFmt numFmtId="4" formatCode="#,##0.00"/>
    </odxf>
    <ndxf>
      <numFmt numFmtId="170" formatCode="#,##0.0"/>
    </ndxf>
  </rcc>
  <rcc rId="505" sId="6" odxf="1" dxf="1" numFmtId="4">
    <oc r="E18">
      <v>8.7999999999999995E-2</v>
    </oc>
    <nc r="E18">
      <f>F18</f>
    </nc>
    <odxf>
      <numFmt numFmtId="4" formatCode="#,##0.00"/>
    </odxf>
    <ndxf>
      <numFmt numFmtId="170" formatCode="#,##0.0"/>
    </ndxf>
  </rcc>
  <rcc rId="506" sId="6" odxf="1" dxf="1">
    <oc r="E19">
      <f>4174.5/10172.9</f>
    </oc>
    <nc r="E19">
      <f>F19</f>
    </nc>
    <odxf>
      <numFmt numFmtId="4" formatCode="#,##0.00"/>
      <protection locked="0"/>
    </odxf>
    <ndxf>
      <numFmt numFmtId="170" formatCode="#,##0.0"/>
      <protection locked="1"/>
    </ndxf>
  </rcc>
  <rfmt sheetId="6" sqref="E7:E19">
    <dxf>
      <fill>
        <patternFill>
          <bgColor rgb="FF92D050"/>
        </patternFill>
      </fill>
    </dxf>
  </rfmt>
  <rfmt sheetId="7" sqref="D19:G21">
    <dxf>
      <fill>
        <patternFill>
          <bgColor rgb="FFFF0000"/>
        </patternFill>
      </fill>
    </dxf>
  </rfmt>
  <rfmt sheetId="7" sqref="D23:G25">
    <dxf>
      <fill>
        <patternFill>
          <bgColor rgb="FFFF0000"/>
        </patternFill>
      </fill>
    </dxf>
  </rfmt>
  <rfmt sheetId="7" sqref="H19:I21">
    <dxf>
      <fill>
        <patternFill>
          <bgColor rgb="FFFF0000"/>
        </patternFill>
      </fill>
    </dxf>
  </rfmt>
  <rfmt sheetId="7" sqref="H23:I25">
    <dxf>
      <fill>
        <patternFill>
          <bgColor rgb="FFFF0000"/>
        </patternFill>
      </fill>
    </dxf>
  </rfmt>
  <rfmt sheetId="7" sqref="D27:I29">
    <dxf>
      <fill>
        <patternFill>
          <bgColor rgb="FFFF0000"/>
        </patternFill>
      </fill>
    </dxf>
  </rfmt>
  <rfmt sheetId="7" sqref="D31:I33">
    <dxf>
      <fill>
        <patternFill>
          <bgColor rgb="FFFF0000"/>
        </patternFill>
      </fill>
    </dxf>
  </rfmt>
  <rfmt sheetId="7" sqref="D56:F56">
    <dxf>
      <fill>
        <patternFill>
          <bgColor rgb="FFFF0000"/>
        </patternFill>
      </fill>
    </dxf>
  </rfmt>
  <rfmt sheetId="7" sqref="J56:O56">
    <dxf>
      <fill>
        <patternFill>
          <bgColor rgb="FFFF0000"/>
        </patternFill>
      </fill>
    </dxf>
  </rfmt>
  <rfmt sheetId="9" sqref="L30:N30">
    <dxf>
      <fill>
        <patternFill patternType="solid">
          <bgColor rgb="FFFF0000"/>
        </patternFill>
      </fill>
    </dxf>
  </rfmt>
  <rcc rId="507" sId="2">
    <nc r="K22">
      <f>6327+50</f>
    </nc>
  </rcc>
  <rfmt sheetId="2" sqref="I22">
    <dxf>
      <fill>
        <patternFill>
          <bgColor rgb="FFFF0000"/>
        </patternFill>
      </fill>
    </dxf>
  </rfmt>
  <rfmt sheetId="7" sqref="J31:K31">
    <dxf>
      <fill>
        <patternFill>
          <bgColor rgb="FFFF0000"/>
        </patternFill>
      </fill>
    </dxf>
  </rfmt>
  <rcv guid="{4BF2F851-A775-4F33-8DA4-C59D9D94DA9D}" action="delete"/>
  <rdn rId="0" localSheetId="1" customView="1" name="Z_4BF2F851_A775_4F33_8DA4_C59D9D94DA9D_.wvu.PrintArea" hidden="1" oldHidden="1">
    <formula>'Осн. фін. пок.'!$A$1:$J$87</formula>
    <oldFormula>'Осн. фін. пок.'!$A$1:$J$87</oldFormula>
  </rdn>
  <rdn rId="0" localSheetId="1" customView="1" name="Z_4BF2F851_A775_4F33_8DA4_C59D9D94DA9D_.wvu.PrintTitles" hidden="1" oldHidden="1">
    <formula>'Осн. фін. пок.'!$36:$36</formula>
    <oldFormula>'Осн. фін. пок.'!$36:$36</oldFormula>
  </rdn>
  <rdn rId="0" localSheetId="2" customView="1" name="Z_4BF2F851_A775_4F33_8DA4_C59D9D94DA9D_.wvu.PrintArea" hidden="1" oldHidden="1">
    <formula>'I. Фін результат'!$A$1:$J$110</formula>
    <oldFormula>'I. Фін результат'!$A$1:$J$110</oldFormula>
  </rdn>
  <rdn rId="0" localSheetId="2" customView="1" name="Z_4BF2F851_A775_4F33_8DA4_C59D9D94DA9D_.wvu.PrintTitles" hidden="1" oldHidden="1">
    <formula>'I. Фін результат'!$5:$5</formula>
    <oldFormula>'I. Фін результат'!$5:$5</oldFormula>
  </rdn>
  <rdn rId="0" localSheetId="3" customView="1" name="Z_4BF2F851_A775_4F33_8DA4_C59D9D94DA9D_.wvu.PrintArea" hidden="1" oldHidden="1">
    <formula>'ІІ. Розр. з бюджетом'!$A$1:$I$42</formula>
    <oldFormula>'ІІ. Розр. з бюджетом'!$A$1:$I$42</oldFormula>
  </rdn>
  <rdn rId="0" localSheetId="3" customView="1" name="Z_4BF2F851_A775_4F33_8DA4_C59D9D94DA9D_.wvu.PrintTitles" hidden="1" oldHidden="1">
    <formula>'ІІ. Розр. з бюджетом'!$5:$5</formula>
    <oldFormula>'ІІ. Розр. з бюджетом'!$5:$5</oldFormula>
  </rdn>
  <rdn rId="0" localSheetId="4" customView="1" name="Z_4BF2F851_A775_4F33_8DA4_C59D9D94DA9D_.wvu.PrintArea" hidden="1" oldHidden="1">
    <formula>'ІІІ. Рух грош. коштів'!$A$1:$I$85</formula>
    <oldFormula>'ІІІ. Рух грош. коштів'!$A$1:$I$85</oldFormula>
  </rdn>
  <rdn rId="0" localSheetId="4" customView="1" name="Z_4BF2F851_A775_4F33_8DA4_C59D9D94DA9D_.wvu.PrintTitles" hidden="1" oldHidden="1">
    <formula>'ІІІ. Рух грош. коштів'!$5:$5</formula>
    <oldFormula>'ІІІ. Рух грош. коштів'!$5:$5</oldFormula>
  </rdn>
  <rdn rId="0" localSheetId="5" customView="1" name="Z_4BF2F851_A775_4F33_8DA4_C59D9D94DA9D_.wvu.PrintArea" hidden="1" oldHidden="1">
    <formula>'IV. Кап. інвестиції'!$A$1:$I$16</formula>
    <oldFormula>'IV. Кап. інвестиції'!$A$1:$I$16</oldFormula>
  </rdn>
  <rdn rId="0" localSheetId="6" customView="1" name="Z_4BF2F851_A775_4F33_8DA4_C59D9D94DA9D_.wvu.PrintArea" hidden="1" oldHidden="1">
    <formula>' V. Коефіцієнти'!$A$1:$H$26</formula>
    <oldFormula>' V. Коефіцієнти'!$A$1:$H$26</oldFormula>
  </rdn>
  <rdn rId="0" localSheetId="6" customView="1" name="Z_4BF2F851_A775_4F33_8DA4_C59D9D94DA9D_.wvu.PrintTitles" hidden="1" oldHidden="1">
    <formula>' V. Коефіцієнти'!$5:$5</formula>
    <oldFormula>' V. Коефіцієнти'!$5:$5</oldFormula>
  </rdn>
  <rdn rId="0" localSheetId="7" customView="1" name="Z_4BF2F851_A775_4F33_8DA4_C59D9D94DA9D_.wvu.PrintArea" hidden="1" oldHidden="1">
    <formula>'6.1. Інша інфо_1'!$A$1:$O$81</formula>
    <oldFormula>'6.1. Інша інфо_1'!$A$1:$O$81</oldFormula>
  </rdn>
  <rdn rId="0" localSheetId="9" customView="1" name="Z_4BF2F851_A775_4F33_8DA4_C59D9D94DA9D_.wvu.PrintArea" hidden="1" oldHidden="1">
    <formula>'6.2. Інша інфо_2'!$A$1:$AE$54</formula>
    <oldFormula>'6.2. Інша інфо_2'!$A$1:$AE$54</oldFormula>
  </rdn>
  <rcv guid="{4BF2F851-A775-4F33-8DA4-C59D9D94DA9D}" action="add"/>
</revisions>
</file>

<file path=xl/revisions/revisionLog1101111.xml><?xml version="1.0" encoding="utf-8"?>
<revisions xmlns="http://schemas.openxmlformats.org/spreadsheetml/2006/main" xmlns:r="http://schemas.openxmlformats.org/officeDocument/2006/relationships">
  <rcc rId="410" sId="1">
    <oc r="G38">
      <f>ROUND(E38*105.5%,0)</f>
    </oc>
    <nc r="G38">
      <f>ROUND(E38*106.2%,0)</f>
    </nc>
  </rcc>
  <rcc rId="411" sId="1">
    <oc r="H38">
      <f>ROUND(G38*105.2%,0)</f>
    </oc>
    <nc r="H38">
      <f>ROUND(G38*105.3%,0)</f>
    </nc>
  </rcc>
  <rcc rId="412" sId="1">
    <oc r="I38">
      <f>ROUND(H38*105.2%,0)</f>
    </oc>
    <nc r="I38">
      <f>ROUND(H38*105.3%,0)</f>
    </nc>
  </rcc>
  <rcc rId="413" sId="1">
    <oc r="J38">
      <f>ROUND(I38*105.2%,0)</f>
    </oc>
    <nc r="J38">
      <f>ROUND(I38*105.3%,0)</f>
    </nc>
  </rcc>
  <rcc rId="414" sId="1">
    <oc r="G39">
      <f>ROUND(E39*105.5%,0)</f>
    </oc>
    <nc r="G39">
      <f>ROUND(E39*106.2%,0)</f>
    </nc>
  </rcc>
  <rcc rId="415" sId="1">
    <oc r="H39">
      <f>ROUND(G39*105.2%,0)</f>
    </oc>
    <nc r="H39">
      <f>ROUND(G39*105.3%,0)</f>
    </nc>
  </rcc>
  <rcc rId="416" sId="1">
    <oc r="I39">
      <f>ROUND(H39*105.2%,0)</f>
    </oc>
    <nc r="I39">
      <f>ROUND(H39*105.3%,0)</f>
    </nc>
  </rcc>
  <rcc rId="417" sId="1">
    <oc r="J39">
      <f>ROUND(I39*105.2%,0)</f>
    </oc>
    <nc r="J39">
      <f>ROUND(I39*105.3%,0)</f>
    </nc>
  </rcc>
  <rcc rId="418" sId="1">
    <oc r="G41">
      <f>ROUND(E41*105.5%,0)</f>
    </oc>
    <nc r="G41">
      <f>ROUND(E41*106.2%,0)</f>
    </nc>
  </rcc>
  <rcc rId="419" sId="1">
    <oc r="H41">
      <f>ROUND(G41*105.2%,0)</f>
    </oc>
    <nc r="H41">
      <f>ROUND(G41*105.3%,0)</f>
    </nc>
  </rcc>
  <rcc rId="420" sId="1">
    <oc r="I41">
      <f>ROUND(H41*105.2%,0)</f>
    </oc>
    <nc r="I41">
      <f>ROUND(H41*105.3%,0)</f>
    </nc>
  </rcc>
  <rcc rId="421" sId="1">
    <oc r="J41">
      <f>ROUND(I41*105.2%,0)</f>
    </oc>
    <nc r="J41">
      <f>ROUND(I41*105.3%,0)</f>
    </nc>
  </rcc>
  <rcc rId="422" sId="1">
    <oc r="G42">
      <f>ROUND(E42*105.5%,0)</f>
    </oc>
    <nc r="G42">
      <f>ROUND(E42*106.2%,0)</f>
    </nc>
  </rcc>
  <rcc rId="423" sId="1">
    <oc r="H42">
      <f>ROUND(G42*105.2%,0)</f>
    </oc>
    <nc r="H42">
      <f>ROUND(G42*105.3%,0)</f>
    </nc>
  </rcc>
  <rcc rId="424" sId="1">
    <oc r="I42">
      <f>ROUND(H42*105.2%,0)</f>
    </oc>
    <nc r="I42">
      <f>ROUND(H42*105.3%,0)</f>
    </nc>
  </rcc>
  <rcc rId="425" sId="1">
    <oc r="J42">
      <f>ROUND(I42*105.2%,0)</f>
    </oc>
    <nc r="J42">
      <f>ROUND(I42*105.3%,0)</f>
    </nc>
  </rcc>
  <rcc rId="426" sId="1">
    <oc r="G43">
      <f>ROUND(E43*105.5%,0)</f>
    </oc>
    <nc r="G43">
      <f>ROUND(E43*106.2%,0)</f>
    </nc>
  </rcc>
  <rcc rId="427" sId="1">
    <oc r="H43">
      <f>ROUND(G43*105.2%,0)</f>
    </oc>
    <nc r="H43">
      <f>ROUND(G43*105.3%,0)</f>
    </nc>
  </rcc>
  <rcc rId="428" sId="1">
    <oc r="I43">
      <f>ROUND(H43*105.2%,0)</f>
    </oc>
    <nc r="I43">
      <f>ROUND(H43*105.3%,0)</f>
    </nc>
  </rcc>
  <rcc rId="429" sId="1">
    <oc r="J43">
      <f>ROUND(I43*105.2%,0)</f>
    </oc>
    <nc r="J43">
      <f>ROUND(I43*105.3%,0)</f>
    </nc>
  </rcc>
  <rcc rId="430" sId="1">
    <oc r="G45">
      <f>ROUND(E45*105.5%,0)</f>
    </oc>
    <nc r="G45">
      <f>ROUND(E45*106.2%,0)</f>
    </nc>
  </rcc>
  <rcc rId="431" sId="1">
    <oc r="H45">
      <f>ROUND(G45*105.2%,0)</f>
    </oc>
    <nc r="H45">
      <f>ROUND(G45*105.3%,0)</f>
    </nc>
  </rcc>
  <rcc rId="432" sId="1">
    <oc r="I45">
      <f>ROUND(H45*105.2%,0)</f>
    </oc>
    <nc r="I45">
      <f>ROUND(H45*105.3%,0)</f>
    </nc>
  </rcc>
  <rcc rId="433" sId="1">
    <oc r="J45">
      <f>ROUND(I45*105.2%,0)</f>
    </oc>
    <nc r="J45">
      <f>ROUND(I45*105.3%,0)</f>
    </nc>
  </rcc>
  <rcc rId="434" sId="1">
    <oc r="G46">
      <f>ROUND(E46*105.5%,0)</f>
    </oc>
    <nc r="G46">
      <f>ROUND(E46*106.2%,0)</f>
    </nc>
  </rcc>
  <rcc rId="435" sId="1">
    <oc r="H46">
      <f>ROUND(G46*105.2%,0)</f>
    </oc>
    <nc r="H46">
      <f>ROUND(G46*105.3%,0)</f>
    </nc>
  </rcc>
  <rcc rId="436" sId="1">
    <oc r="I46">
      <f>ROUND(H46*105.2%,0)</f>
    </oc>
    <nc r="I46">
      <f>ROUND(H46*105.3%,0)</f>
    </nc>
  </rcc>
  <rcc rId="437" sId="1">
    <oc r="J46">
      <f>ROUND(I46*105.2%,0)</f>
    </oc>
    <nc r="J46">
      <f>ROUND(I46*105.3%,0)</f>
    </nc>
  </rcc>
  <rcc rId="438" sId="1">
    <oc r="G47">
      <f>ROUND(E47*105.5%,0)</f>
    </oc>
    <nc r="G47">
      <f>ROUND(E47*106.2%,0)</f>
    </nc>
  </rcc>
  <rcc rId="439" sId="1">
    <oc r="H47">
      <f>ROUND(G47*105.2%,0)</f>
    </oc>
    <nc r="H47">
      <f>ROUND(G47*105.3%,0)</f>
    </nc>
  </rcc>
  <rcc rId="440" sId="1">
    <oc r="I47">
      <f>ROUND(H47*105.2%,0)</f>
    </oc>
    <nc r="I47">
      <f>ROUND(H47*105.3%,0)</f>
    </nc>
  </rcc>
  <rcc rId="441" sId="1">
    <oc r="J47">
      <f>ROUND(I47*105.2%,0)</f>
    </oc>
    <nc r="J47">
      <f>ROUND(I47*105.3%,0)</f>
    </nc>
  </rcc>
  <rcc rId="442" sId="1">
    <oc r="G48">
      <f>ROUND(E48*105.5%,0)</f>
    </oc>
    <nc r="G48">
      <f>ROUND(E48*106.2%,0)</f>
    </nc>
  </rcc>
  <rcc rId="443" sId="1">
    <oc r="H48">
      <f>ROUND(G48*105.2%,0)</f>
    </oc>
    <nc r="H48">
      <f>ROUND(G48*105.3%,0)</f>
    </nc>
  </rcc>
  <rcc rId="444" sId="1">
    <oc r="I48">
      <f>ROUND(H48*105.2%,0)</f>
    </oc>
    <nc r="I48">
      <f>ROUND(H48*105.3%,0)</f>
    </nc>
  </rcc>
  <rcc rId="445" sId="1">
    <oc r="J48">
      <f>ROUND(I48*105.2%,0)</f>
    </oc>
    <nc r="J48">
      <f>ROUND(I48*105.3%,0)</f>
    </nc>
  </rcc>
  <rcc rId="446" sId="1">
    <oc r="G56">
      <f>ROUND(E56*105.5%,0)</f>
    </oc>
    <nc r="G56">
      <f>ROUND(E56*106.2%,0)</f>
    </nc>
  </rcc>
  <rcc rId="447" sId="1">
    <oc r="H56">
      <f>ROUND(G56*105.2%,0)</f>
    </oc>
    <nc r="H56">
      <f>ROUND(G56*105.3%,0)</f>
    </nc>
  </rcc>
  <rcc rId="448" sId="1">
    <oc r="I56">
      <f>ROUND(H56*105.2%,0)</f>
    </oc>
    <nc r="I56">
      <f>ROUND(H56*105.3%,0)</f>
    </nc>
  </rcc>
  <rcc rId="449" sId="1">
    <oc r="J56">
      <f>ROUND(I56*105.2%,0)</f>
    </oc>
    <nc r="J56">
      <f>ROUND(I56*105.3%,0)</f>
    </nc>
  </rcc>
  <rcc rId="450" sId="1">
    <oc r="G57">
      <f>ROUND(E57*105.5%,0)</f>
    </oc>
    <nc r="G57">
      <f>ROUND(E57*106.2%,0)</f>
    </nc>
  </rcc>
  <rcc rId="451" sId="1">
    <oc r="H57">
      <f>ROUND(G57*105.2%,0)</f>
    </oc>
    <nc r="H57">
      <f>ROUND(G57*105.3%,0)</f>
    </nc>
  </rcc>
  <rcc rId="452" sId="1">
    <oc r="I57">
      <f>ROUND(H57*105.2%,0)</f>
    </oc>
    <nc r="I57">
      <f>ROUND(H57*105.3%,0)</f>
    </nc>
  </rcc>
  <rcc rId="453" sId="1">
    <oc r="J57">
      <f>ROUND(I57*105.2%,0)</f>
    </oc>
    <nc r="J57">
      <f>ROUND(I57*105.3%,0)</f>
    </nc>
  </rcc>
  <rcc rId="454" sId="1">
    <oc r="G58">
      <f>ROUND(E58*105.5%,0)</f>
    </oc>
    <nc r="G58">
      <f>ROUND(E58*106.2%,0)</f>
    </nc>
  </rcc>
  <rcc rId="455" sId="1">
    <oc r="H58">
      <f>ROUND(G58*105.2%,0)</f>
    </oc>
    <nc r="H58">
      <f>ROUND(G58*105.3%,0)</f>
    </nc>
  </rcc>
  <rcc rId="456" sId="1">
    <oc r="I58">
      <f>ROUND(H58*105.2%,0)</f>
    </oc>
    <nc r="I58">
      <f>ROUND(H58*105.3%,0)</f>
    </nc>
  </rcc>
  <rcc rId="457" sId="1">
    <oc r="J58">
      <f>ROUND(I58*105.2%,0)</f>
    </oc>
    <nc r="J58">
      <f>ROUND(I58*105.3%,0)</f>
    </nc>
  </rcc>
  <rcc rId="458" sId="1">
    <oc r="G62">
      <f>ROUND(E62*105.5%,0)</f>
    </oc>
    <nc r="G62">
      <f>ROUND(E62*106.2%,0)</f>
    </nc>
  </rcc>
  <rcc rId="459" sId="1">
    <oc r="H62">
      <f>ROUND(G62*105.2%,0)</f>
    </oc>
    <nc r="H62">
      <f>ROUND(G62*105.3%,0)</f>
    </nc>
  </rcc>
  <rcc rId="460" sId="1">
    <oc r="I62">
      <f>ROUND(H62*105.2%,0)</f>
    </oc>
    <nc r="I62">
      <f>ROUND(H62*105.3%,0)</f>
    </nc>
  </rcc>
  <rcc rId="461" sId="1">
    <oc r="J62">
      <f>ROUND(I62*105.2%,0)</f>
    </oc>
    <nc r="J62">
      <f>ROUND(I62*105.3%,0)</f>
    </nc>
  </rcc>
  <rcc rId="462" sId="1">
    <oc r="G63">
      <f>ROUND(E63*105.5%,0)</f>
    </oc>
    <nc r="G63">
      <f>ROUND(E63*106.2%,0)</f>
    </nc>
  </rcc>
  <rcc rId="463" sId="1">
    <oc r="H63">
      <f>ROUND(G63*105.2%,0)</f>
    </oc>
    <nc r="H63">
      <f>ROUND(G63*105.3%,0)</f>
    </nc>
  </rcc>
  <rcc rId="464" sId="1">
    <oc r="I63">
      <f>ROUND(H63*105.2%,0)</f>
    </oc>
    <nc r="I63">
      <f>ROUND(H63*105.3%,0)</f>
    </nc>
  </rcc>
  <rcc rId="465" sId="1">
    <oc r="J63">
      <f>ROUND(I63*105.2%,0)+100</f>
    </oc>
    <nc r="J63">
      <f>ROUND(I63*105.3%,0)</f>
    </nc>
  </rcc>
  <rcc rId="466" sId="1">
    <oc r="G64">
      <f>ROUND(E64*105.5%,0)</f>
    </oc>
    <nc r="G64">
      <f>ROUND(E64*106.2%,0)</f>
    </nc>
  </rcc>
  <rcc rId="467" sId="1">
    <oc r="H64">
      <f>ROUND(G64*105.2%,0)</f>
    </oc>
    <nc r="H64">
      <f>ROUND(G64*105.3%,0)</f>
    </nc>
  </rcc>
  <rcc rId="468" sId="1">
    <oc r="I64">
      <f>ROUND(H64*105.2%,0)</f>
    </oc>
    <nc r="I64">
      <f>ROUND(H64*105.3%,0)</f>
    </nc>
  </rcc>
  <rcc rId="469" sId="1">
    <oc r="J64">
      <f>ROUND(I64*105.2%,0)</f>
    </oc>
    <nc r="J64">
      <f>ROUND(I64*105.3%,0)</f>
    </nc>
  </rcc>
  <rcc rId="470" sId="1">
    <oc r="G65">
      <f>ROUND(E65*105.5%,0)</f>
    </oc>
    <nc r="G65">
      <f>ROUND(E65*106.2%,0)</f>
    </nc>
  </rcc>
  <rcc rId="471" sId="1">
    <oc r="H65">
      <f>ROUND(G65*105.2%,0)</f>
    </oc>
    <nc r="H65">
      <f>ROUND(G65*105.3%,0)</f>
    </nc>
  </rcc>
  <rcc rId="472" sId="1">
    <oc r="I65">
      <f>ROUND(H65*105.2%,0)</f>
    </oc>
    <nc r="I65">
      <f>ROUND(H65*105.3%,0)</f>
    </nc>
  </rcc>
  <rcc rId="473" sId="1">
    <oc r="J65">
      <f>ROUND(I65*105.2%,0)</f>
    </oc>
    <nc r="J65">
      <f>ROUND(I65*105.3%,0)</f>
    </nc>
  </rcc>
  <rcc rId="474" sId="1">
    <oc r="G68">
      <f>ROUND(E68*105.5%,0)</f>
    </oc>
    <nc r="G68">
      <f>ROUND(E68*106.2%,0)</f>
    </nc>
  </rcc>
  <rcc rId="475" sId="1">
    <oc r="H68">
      <f>ROUND(G68*105.2%,0)</f>
    </oc>
    <nc r="H68">
      <f>ROUND(G68*105.3%,0)</f>
    </nc>
  </rcc>
  <rcc rId="476" sId="1">
    <oc r="I68">
      <f>ROUND(H68*105.2%,0)</f>
    </oc>
    <nc r="I68">
      <f>ROUND(H68*105.3%,0)</f>
    </nc>
  </rcc>
  <rcc rId="477" sId="1">
    <oc r="J68">
      <f>ROUND(I68*105.2%,0)</f>
    </oc>
    <nc r="J68">
      <f>ROUND(I68*105.3%,0)</f>
    </nc>
  </rcc>
  <rdn rId="0" localSheetId="1" customView="1" name="Z_4BF2F851_A775_4F33_8DA4_C59D9D94DA9D_.wvu.PrintArea" hidden="1" oldHidden="1">
    <formula>'Осн. фін. пок.'!$A$1:$J$87</formula>
  </rdn>
  <rdn rId="0" localSheetId="1" customView="1" name="Z_4BF2F851_A775_4F33_8DA4_C59D9D94DA9D_.wvu.PrintTitles" hidden="1" oldHidden="1">
    <formula>'Осн. фін. пок.'!$36:$36</formula>
  </rdn>
  <rdn rId="0" localSheetId="2" customView="1" name="Z_4BF2F851_A775_4F33_8DA4_C59D9D94DA9D_.wvu.PrintArea" hidden="1" oldHidden="1">
    <formula>'I. Фін результат'!$A$1:$J$110</formula>
  </rdn>
  <rdn rId="0" localSheetId="2" customView="1" name="Z_4BF2F851_A775_4F33_8DA4_C59D9D94DA9D_.wvu.PrintTitles" hidden="1" oldHidden="1">
    <formula>'I. Фін результат'!$5:$5</formula>
  </rdn>
  <rdn rId="0" localSheetId="3" customView="1" name="Z_4BF2F851_A775_4F33_8DA4_C59D9D94DA9D_.wvu.PrintArea" hidden="1" oldHidden="1">
    <formula>'ІІ. Розр. з бюджетом'!$A$1:$I$42</formula>
  </rdn>
  <rdn rId="0" localSheetId="3" customView="1" name="Z_4BF2F851_A775_4F33_8DA4_C59D9D94DA9D_.wvu.PrintTitles" hidden="1" oldHidden="1">
    <formula>'ІІ. Розр. з бюджетом'!$5:$5</formula>
  </rdn>
  <rdn rId="0" localSheetId="4" customView="1" name="Z_4BF2F851_A775_4F33_8DA4_C59D9D94DA9D_.wvu.PrintArea" hidden="1" oldHidden="1">
    <formula>'ІІІ. Рух грош. коштів'!$A$1:$I$85</formula>
  </rdn>
  <rdn rId="0" localSheetId="4" customView="1" name="Z_4BF2F851_A775_4F33_8DA4_C59D9D94DA9D_.wvu.PrintTitles" hidden="1" oldHidden="1">
    <formula>'ІІІ. Рух грош. коштів'!$5:$5</formula>
  </rdn>
  <rdn rId="0" localSheetId="5" customView="1" name="Z_4BF2F851_A775_4F33_8DA4_C59D9D94DA9D_.wvu.PrintArea" hidden="1" oldHidden="1">
    <formula>'IV. Кап. інвестиції'!$A$1:$I$16</formula>
  </rdn>
  <rdn rId="0" localSheetId="6" customView="1" name="Z_4BF2F851_A775_4F33_8DA4_C59D9D94DA9D_.wvu.PrintArea" hidden="1" oldHidden="1">
    <formula>' V. Коефіцієнти'!$A$1:$H$26</formula>
  </rdn>
  <rdn rId="0" localSheetId="6" customView="1" name="Z_4BF2F851_A775_4F33_8DA4_C59D9D94DA9D_.wvu.PrintTitles" hidden="1" oldHidden="1">
    <formula>' V. Коефіцієнти'!$5:$5</formula>
  </rdn>
  <rdn rId="0" localSheetId="7" customView="1" name="Z_4BF2F851_A775_4F33_8DA4_C59D9D94DA9D_.wvu.PrintArea" hidden="1" oldHidden="1">
    <formula>'6.1. Інша інфо_1'!$A$1:$O$81</formula>
  </rdn>
  <rdn rId="0" localSheetId="9" customView="1" name="Z_4BF2F851_A775_4F33_8DA4_C59D9D94DA9D_.wvu.PrintArea" hidden="1" oldHidden="1">
    <formula>'6.2. Інша інфо_2'!$A$1:$AE$54</formula>
  </rdn>
  <rcv guid="{4BF2F851-A775-4F33-8DA4-C59D9D94DA9D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762" sId="8" numFmtId="4">
    <oc r="F31">
      <v>590</v>
    </oc>
    <nc r="F31">
      <f>(590*12)</f>
    </nc>
  </rcc>
  <rfmt sheetId="8" sqref="K31">
    <dxf>
      <fill>
        <patternFill>
          <bgColor rgb="FF92D050"/>
        </patternFill>
      </fill>
    </dxf>
  </rfmt>
  <rfmt sheetId="8" sqref="F31">
    <dxf>
      <fill>
        <patternFill>
          <bgColor rgb="FF92D050"/>
        </patternFill>
      </fill>
    </dxf>
  </rfmt>
  <rfmt sheetId="8" sqref="W32:AF32">
    <dxf>
      <fill>
        <patternFill>
          <bgColor rgb="FF92D050"/>
        </patternFill>
      </fill>
    </dxf>
  </rfmt>
  <rfmt sheetId="8" sqref="X31">
    <dxf>
      <fill>
        <patternFill>
          <bgColor rgb="FF92D050"/>
        </patternFill>
      </fill>
    </dxf>
  </rfmt>
  <rfmt sheetId="8" sqref="Z31">
    <dxf>
      <fill>
        <patternFill>
          <bgColor rgb="FF92D050"/>
        </patternFill>
      </fill>
    </dxf>
  </rfmt>
  <rfmt sheetId="8" sqref="AB31">
    <dxf>
      <fill>
        <patternFill>
          <bgColor rgb="FF92D050"/>
        </patternFill>
      </fill>
    </dxf>
  </rfmt>
  <rfmt sheetId="8" sqref="AD31">
    <dxf>
      <fill>
        <patternFill>
          <bgColor rgb="FF92D050"/>
        </patternFill>
      </fill>
    </dxf>
  </rfmt>
  <rfmt sheetId="8" sqref="K31" start="0" length="0">
    <dxf>
      <fill>
        <patternFill>
          <bgColor theme="4" tint="0.59999389629810485"/>
        </patternFill>
      </fill>
    </dxf>
  </rfmt>
  <rcc rId="763" sId="8">
    <oc r="K30">
      <f>E30+F30+G30+H30+I30+J30</f>
    </oc>
    <nc r="K30">
      <f>E30+F30+G30+H30+I30+J30</f>
    </nc>
  </rcc>
  <rcc rId="764" sId="8">
    <oc r="K31">
      <f>E31+G31+H31+I31+J31+(590*12)</f>
    </oc>
    <nc r="K31">
      <f>E31+F31+G31+H31+I31+J31</f>
    </nc>
  </rcc>
  <rcc rId="765" sId="8">
    <oc r="K32">
      <f>E32+F32+G32+H32+I32+J32</f>
    </oc>
    <nc r="K32">
      <f>E32+F32+G32+H32+I32+J32</f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fmt sheetId="3" sqref="G9:G10">
    <dxf>
      <fill>
        <patternFill>
          <bgColor theme="0"/>
        </patternFill>
      </fill>
    </dxf>
  </rfmt>
  <rfmt sheetId="2" sqref="C103:F103">
    <dxf>
      <fill>
        <patternFill>
          <bgColor theme="0"/>
        </patternFill>
      </fill>
    </dxf>
  </rfmt>
</revisions>
</file>

<file path=xl/revisions/revisionLog11111.xml><?xml version="1.0" encoding="utf-8"?>
<revisions xmlns="http://schemas.openxmlformats.org/spreadsheetml/2006/main" xmlns:r="http://schemas.openxmlformats.org/officeDocument/2006/relationships">
  <rfmt sheetId="7" sqref="J56:L56">
    <dxf>
      <fill>
        <patternFill>
          <bgColor rgb="FF92D050"/>
        </patternFill>
      </fill>
    </dxf>
  </rfmt>
  <rfmt sheetId="7" sqref="D56:F56">
    <dxf>
      <fill>
        <patternFill>
          <bgColor rgb="FF92D050"/>
        </patternFill>
      </fill>
    </dxf>
  </rfmt>
</revisions>
</file>

<file path=xl/revisions/revisionLog111111.xml><?xml version="1.0" encoding="utf-8"?>
<revisions xmlns="http://schemas.openxmlformats.org/spreadsheetml/2006/main" xmlns:r="http://schemas.openxmlformats.org/officeDocument/2006/relationships">
  <rcc rId="586" sId="7">
    <oc r="M56">
      <v>2430</v>
    </oc>
    <nc r="M56">
      <v>2200</v>
    </nc>
  </rcc>
  <rfmt sheetId="7" sqref="M56:O56">
    <dxf>
      <fill>
        <patternFill>
          <bgColor rgb="FF92D050"/>
        </patternFill>
      </fill>
    </dxf>
  </rfmt>
</revisions>
</file>

<file path=xl/revisions/revisionLog1111111.xml><?xml version="1.0" encoding="utf-8"?>
<revisions xmlns="http://schemas.openxmlformats.org/spreadsheetml/2006/main" xmlns:r="http://schemas.openxmlformats.org/officeDocument/2006/relationships">
  <rcc rId="14" sId="4" numFmtId="4">
    <oc r="D39">
      <v>0</v>
    </oc>
    <nc r="D39">
      <v>20</v>
    </nc>
  </rcc>
  <rcc rId="15" sId="4" numFmtId="4">
    <nc r="D40">
      <v>159</v>
    </nc>
  </rcc>
  <rcc rId="16" sId="4">
    <oc r="D38">
      <f>D39</f>
    </oc>
    <nc r="D38">
      <f>D39+D40</f>
    </nc>
  </rcc>
</revisions>
</file>

<file path=xl/revisions/revisionLog112.xml><?xml version="1.0" encoding="utf-8"?>
<revisions xmlns="http://schemas.openxmlformats.org/spreadsheetml/2006/main" xmlns:r="http://schemas.openxmlformats.org/officeDocument/2006/relationships">
  <rcc rId="815" sId="8">
    <oc r="F31">
      <f>(590*12)</f>
    </oc>
    <nc r="F31">
      <f>590*12</f>
    </nc>
  </rcc>
</revisions>
</file>

<file path=xl/revisions/revisionLog1121.xml><?xml version="1.0" encoding="utf-8"?>
<revisions xmlns="http://schemas.openxmlformats.org/spreadsheetml/2006/main" xmlns:r="http://schemas.openxmlformats.org/officeDocument/2006/relationships">
  <rfmt sheetId="1" sqref="D74:D83">
    <dxf>
      <fill>
        <patternFill>
          <bgColor rgb="FF92D050"/>
        </patternFill>
      </fill>
    </dxf>
  </rfmt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fmt sheetId="3" sqref="F22">
    <dxf>
      <fill>
        <patternFill>
          <bgColor rgb="FF92D050"/>
        </patternFill>
      </fill>
    </dxf>
  </rfmt>
  <rfmt sheetId="3" sqref="D20:D21">
    <dxf>
      <fill>
        <patternFill>
          <bgColor rgb="FF92D050"/>
        </patternFill>
      </fill>
    </dxf>
  </rfmt>
</revisions>
</file>

<file path=xl/revisions/revisionLog112111.xml><?xml version="1.0" encoding="utf-8"?>
<revisions xmlns="http://schemas.openxmlformats.org/spreadsheetml/2006/main" xmlns:r="http://schemas.openxmlformats.org/officeDocument/2006/relationships">
  <rfmt sheetId="2" sqref="I22">
    <dxf>
      <fill>
        <patternFill>
          <bgColor rgb="FF92D050"/>
        </patternFill>
      </fill>
    </dxf>
  </rfmt>
</revisions>
</file>

<file path=xl/revisions/revisionLog1122.xml><?xml version="1.0" encoding="utf-8"?>
<revisions xmlns="http://schemas.openxmlformats.org/spreadsheetml/2006/main" xmlns:r="http://schemas.openxmlformats.org/officeDocument/2006/relationships">
  <rfmt sheetId="1" sqref="D74:D83">
    <dxf>
      <fill>
        <patternFill>
          <bgColor rgb="FF92D050"/>
        </patternFill>
      </fill>
    </dxf>
  </rfmt>
</revisions>
</file>

<file path=xl/revisions/revisionLog11221.xml><?xml version="1.0" encoding="utf-8"?>
<revisions xmlns="http://schemas.openxmlformats.org/spreadsheetml/2006/main" xmlns:r="http://schemas.openxmlformats.org/officeDocument/2006/relationships">
  <rcc rId="759" sId="1" numFmtId="4">
    <nc r="D78">
      <v>11820</v>
    </nc>
  </rcc>
  <rcc rId="760" sId="1" numFmtId="4">
    <oc r="D79">
      <v>11820</v>
    </oc>
    <nc r="D79">
      <v>4148</v>
    </nc>
  </rcc>
</revisions>
</file>

<file path=xl/revisions/revisionLog112211.xml><?xml version="1.0" encoding="utf-8"?>
<revisions xmlns="http://schemas.openxmlformats.org/spreadsheetml/2006/main" xmlns:r="http://schemas.openxmlformats.org/officeDocument/2006/relationships">
  <rcc rId="748" sId="7" numFmtId="34">
    <oc r="D27">
      <v>22325</v>
    </oc>
    <nc r="D27">
      <v>17325</v>
    </nc>
  </rcc>
  <rcc rId="749" sId="7" numFmtId="34">
    <oc r="D28">
      <v>10084</v>
    </oc>
    <nc r="D28">
      <v>9328</v>
    </nc>
  </rcc>
  <rcc rId="750" sId="7" numFmtId="34">
    <oc r="D29">
      <v>3493</v>
    </oc>
    <nc r="D29">
      <v>2580</v>
    </nc>
  </rcc>
  <rfmt sheetId="7" sqref="D27:E29">
    <dxf>
      <fill>
        <patternFill>
          <bgColor rgb="FF92D050"/>
        </patternFill>
      </fill>
    </dxf>
  </rfmt>
  <rcc rId="751" sId="7" numFmtId="34">
    <oc r="D31">
      <v>29131</v>
    </oc>
    <nc r="D31">
      <v>22678</v>
    </nc>
  </rcc>
  <rcc rId="752" sId="7" numFmtId="34">
    <oc r="D32">
      <v>12962</v>
    </oc>
    <nc r="D32">
      <v>11929</v>
    </nc>
  </rcc>
  <rcc rId="753" sId="7" numFmtId="34">
    <oc r="D33">
      <v>7881</v>
    </oc>
    <nc r="D33">
      <v>8069</v>
    </nc>
  </rcc>
  <rfmt sheetId="7" sqref="D31:E33">
    <dxf>
      <fill>
        <patternFill>
          <bgColor rgb="FF92D050"/>
        </patternFill>
      </fill>
    </dxf>
  </rfmt>
</revisions>
</file>

<file path=xl/revisions/revisionLog1122111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fmt sheetId="8" sqref="X31:AD31">
    <dxf>
      <fill>
        <patternFill>
          <bgColor theme="0"/>
        </patternFill>
      </fill>
    </dxf>
  </rfmt>
  <rfmt sheetId="8" sqref="F31">
    <dxf>
      <fill>
        <patternFill>
          <bgColor theme="0"/>
        </patternFill>
      </fill>
    </dxf>
  </rfmt>
  <rcc rId="862" sId="8" odxf="1" dxf="1">
    <oc r="K31">
      <f>E31+F31+G31+H31+I31+J31</f>
    </oc>
    <nc r="K31">
      <f>E31+F31+G31+H31+I31+J31</f>
    </nc>
    <odxf>
      <fill>
        <patternFill>
          <bgColor rgb="FF92D050"/>
        </patternFill>
      </fill>
    </odxf>
    <ndxf>
      <fill>
        <patternFill>
          <bgColor theme="4" tint="0.59999389629810485"/>
        </patternFill>
      </fill>
    </ndxf>
  </rcc>
  <rcc rId="863" sId="8">
    <oc r="W48">
      <f>W39+W42</f>
    </oc>
    <nc r="W48">
      <f>W39+W42</f>
    </nc>
  </rcc>
  <rcc rId="864" sId="8">
    <oc r="W49">
      <f>W40+W43</f>
    </oc>
    <nc r="W49">
      <f>W40+W43</f>
    </nc>
  </rcc>
  <rcc rId="865" sId="8">
    <oc r="X40">
      <f>(X39-X45)*22%+X45*8.41%</f>
    </oc>
    <nc r="X40">
      <f>(X39-X45)*22%+X45*8.41%</f>
    </nc>
  </rcc>
  <rcc rId="866" sId="8">
    <oc r="X43">
      <f>(X42-X46)*22%+X46*8.41%</f>
    </oc>
    <nc r="X43">
      <f>(X42-X46)*22%+X46*8.41%</f>
    </nc>
  </rcc>
  <rcc rId="867" sId="8">
    <oc r="X45">
      <f>SUM(Y21:Z21)</f>
    </oc>
    <nc r="X45">
      <f>SUM(Y21:Z21)</f>
    </nc>
  </rcc>
  <rcc rId="868" sId="8">
    <oc r="X48">
      <f>X39+X42</f>
    </oc>
    <nc r="X48">
      <f>X39+X42</f>
    </nc>
  </rcc>
  <rcc rId="869" sId="8">
    <oc r="X49">
      <f>X40+X43</f>
    </oc>
    <nc r="X49">
      <f>X40+X43</f>
    </nc>
  </rcc>
  <rcc rId="870" sId="8">
    <oc r="Y45">
      <f>SUM(AA21:AB21)</f>
    </oc>
    <nc r="Y45">
      <f>SUM(AA21:AB21)</f>
    </nc>
  </rcc>
  <rcc rId="871" sId="8">
    <oc r="Y48">
      <f>Y39+Y42</f>
    </oc>
    <nc r="Y48">
      <f>Y39+Y42</f>
    </nc>
  </rcc>
  <rcc rId="872" sId="8">
    <oc r="Y49">
      <f>Y40+Y43</f>
    </oc>
    <nc r="Y49">
      <f>Y40+Y43</f>
    </nc>
  </rcc>
  <rcc rId="873" sId="8">
    <oc r="Z45">
      <f>SUM(AC21:AD21)</f>
    </oc>
    <nc r="Z45">
      <f>SUM(AC21:AD21)</f>
    </nc>
  </rcc>
  <rcc rId="874" sId="7" odxf="1" dxf="1" numFmtId="4">
    <oc r="M56">
      <v>2200</v>
    </oc>
    <nc r="M56">
      <f>'I. Фін результат'!I8</f>
    </nc>
    <odxf>
      <numFmt numFmtId="0" formatCode="General"/>
    </odxf>
    <ndxf>
      <numFmt numFmtId="1" formatCode="0"/>
    </ndxf>
  </rcc>
  <rcc rId="875" sId="7" numFmtId="34">
    <oc r="J19">
      <v>296</v>
    </oc>
    <nc r="J19">
      <f>штатка!W54/1000</f>
    </nc>
  </rcc>
  <rcc rId="876" sId="7" numFmtId="34">
    <oc r="J20">
      <v>1811</v>
    </oc>
    <nc r="J20">
      <f>штатка!W55/1000</f>
    </nc>
  </rcc>
  <rcc rId="877" sId="7" numFmtId="34">
    <oc r="J21">
      <v>3289</v>
    </oc>
    <nc r="J21">
      <f>штатка!W56/1000</f>
    </nc>
  </rcc>
  <rfmt sheetId="2" sqref="I77">
    <dxf>
      <fill>
        <patternFill>
          <bgColor theme="0"/>
        </patternFill>
      </fill>
    </dxf>
  </rfmt>
  <rcc rId="878" sId="7" numFmtId="34">
    <oc r="J23">
      <v>361</v>
    </oc>
    <nc r="J23">
      <f>штатка!W59/1000</f>
    </nc>
  </rcc>
  <rcc rId="879" sId="7" numFmtId="34">
    <oc r="J24">
      <v>2151</v>
    </oc>
    <nc r="J24">
      <f>штатка!W60/1000</f>
    </nc>
  </rcc>
  <rcc rId="880" sId="7" numFmtId="34">
    <oc r="J25">
      <v>3998</v>
    </oc>
    <nc r="J25">
      <f>штатка!W61/1000</f>
    </nc>
  </rcc>
  <rcc rId="881" sId="2">
    <oc r="G32">
      <f>L32</f>
    </oc>
    <nc r="G32">
      <f>L32</f>
    </nc>
  </rcc>
  <rfmt sheetId="2" sqref="J15">
    <dxf>
      <fill>
        <patternFill patternType="solid">
          <bgColor theme="0" tint="-0.249977111117893"/>
        </patternFill>
      </fill>
    </dxf>
  </rfmt>
  <rcc rId="882" sId="1" numFmtId="4">
    <oc r="E78">
      <v>11820</v>
    </oc>
    <nc r="E78"/>
  </rcc>
  <rcc rId="883" sId="1">
    <oc r="E79">
      <v>4148</v>
    </oc>
    <nc r="E79">
      <f>E77-E83</f>
    </nc>
  </rcc>
  <rfmt sheetId="1" sqref="E74:E83">
    <dxf>
      <fill>
        <patternFill>
          <bgColor rgb="FF92D050"/>
        </patternFill>
      </fill>
    </dxf>
  </rfmt>
  <rcc rId="884" sId="1">
    <oc r="E84" t="inlineStr">
      <is>
        <t>актив==пасив</t>
      </is>
    </oc>
    <nc r="E84"/>
  </rcc>
  <rfmt sheetId="1" sqref="I15" start="0" length="2147483647">
    <dxf>
      <font>
        <b val="0"/>
      </font>
    </dxf>
  </rfmt>
  <rcc rId="885" sId="2" numFmtId="4">
    <oc r="C97">
      <v>1385</v>
    </oc>
    <nc r="C97">
      <f>C99</f>
    </nc>
  </rcc>
  <rcc rId="886" sId="2" numFmtId="4">
    <oc r="D97">
      <v>1594</v>
    </oc>
    <nc r="D97">
      <f>D99</f>
    </nc>
  </rcc>
  <rcc rId="887" sId="2" numFmtId="4">
    <oc r="E97">
      <v>844</v>
    </oc>
    <nc r="E97">
      <f>E99</f>
    </nc>
  </rcc>
  <rcc rId="888" sId="2">
    <oc r="F97">
      <f>F99</f>
    </oc>
    <nc r="F97">
      <f>F99</f>
    </nc>
  </rcc>
  <rcc rId="889" sId="2">
    <oc r="G97">
      <f>G99</f>
    </oc>
    <nc r="G97">
      <f>G99</f>
    </nc>
  </rcc>
  <rcc rId="890" sId="2">
    <oc r="H97">
      <f>H99</f>
    </oc>
    <nc r="H97">
      <f>H99</f>
    </nc>
  </rcc>
  <rcc rId="891" sId="2">
    <oc r="I97">
      <f>I99</f>
    </oc>
    <nc r="I97">
      <f>I99</f>
    </nc>
  </rcc>
  <rfmt sheetId="7" sqref="D9:I9">
    <dxf>
      <fill>
        <patternFill>
          <bgColor theme="0"/>
        </patternFill>
      </fill>
    </dxf>
  </rfmt>
  <rcc rId="892" sId="9" numFmtId="4">
    <oc r="L33">
      <v>100</v>
    </oc>
    <nc r="L33">
      <f>L32/X32*100</f>
    </nc>
  </rcc>
  <rcc rId="893" sId="9" numFmtId="4">
    <oc r="M33">
      <v>100</v>
    </oc>
    <nc r="M33">
      <f>M32/Y32*100</f>
    </nc>
  </rcc>
  <rcc rId="894" sId="9" numFmtId="4">
    <oc r="N33">
      <v>100</v>
    </oc>
    <nc r="N33">
      <f>N32/Z32*100</f>
    </nc>
  </rcc>
  <rcc rId="895" sId="9" numFmtId="4">
    <oc r="O33">
      <v>100</v>
    </oc>
    <nc r="O33">
      <f>O32/W32*100</f>
    </nc>
  </rcc>
  <rcc rId="896" sId="9" numFmtId="4">
    <oc r="P33">
      <v>100</v>
    </oc>
    <nc r="P33">
      <f>P32/X32*100</f>
    </nc>
  </rcc>
  <rcc rId="897" sId="9" numFmtId="4">
    <oc r="Q33">
      <v>100</v>
    </oc>
    <nc r="Q33">
      <f>Q32/Y32*100</f>
    </nc>
  </rcc>
  <rcc rId="898" sId="9" numFmtId="4">
    <oc r="R33">
      <v>100</v>
    </oc>
    <nc r="R33">
      <f>R32/Z32*100</f>
    </nc>
  </rcc>
  <rcc rId="899" sId="9" numFmtId="4">
    <oc r="K33">
      <v>100</v>
    </oc>
    <nc r="K33">
      <v>0</v>
    </nc>
  </rcc>
  <rcv guid="{4BF2F851-A775-4F33-8DA4-C59D9D94DA9D}" action="delete"/>
  <rdn rId="0" localSheetId="1" customView="1" name="Z_4BF2F851_A775_4F33_8DA4_C59D9D94DA9D_.wvu.PrintArea" hidden="1" oldHidden="1">
    <formula>'Осн. фін. пок.'!$A$1:$J$87</formula>
    <oldFormula>'Осн. фін. пок.'!$A$1:$J$87</oldFormula>
  </rdn>
  <rdn rId="0" localSheetId="1" customView="1" name="Z_4BF2F851_A775_4F33_8DA4_C59D9D94DA9D_.wvu.PrintTitles" hidden="1" oldHidden="1">
    <formula>'Осн. фін. пок.'!$36:$36</formula>
    <oldFormula>'Осн. фін. пок.'!$36:$36</oldFormula>
  </rdn>
  <rdn rId="0" localSheetId="2" customView="1" name="Z_4BF2F851_A775_4F33_8DA4_C59D9D94DA9D_.wvu.PrintArea" hidden="1" oldHidden="1">
    <formula>'I. Фін результат'!$A$1:$J$110</formula>
    <oldFormula>'I. Фін результат'!$A$1:$J$110</oldFormula>
  </rdn>
  <rdn rId="0" localSheetId="2" customView="1" name="Z_4BF2F851_A775_4F33_8DA4_C59D9D94DA9D_.wvu.PrintTitles" hidden="1" oldHidden="1">
    <formula>'I. Фін результат'!$5:$5</formula>
    <oldFormula>'I. Фін результат'!$5:$5</oldFormula>
  </rdn>
  <rdn rId="0" localSheetId="3" customView="1" name="Z_4BF2F851_A775_4F33_8DA4_C59D9D94DA9D_.wvu.PrintArea" hidden="1" oldHidden="1">
    <formula>'ІІ. Розр. з бюджетом'!$A$1:$I$42</formula>
    <oldFormula>'ІІ. Розр. з бюджетом'!$A$1:$I$42</oldFormula>
  </rdn>
  <rdn rId="0" localSheetId="3" customView="1" name="Z_4BF2F851_A775_4F33_8DA4_C59D9D94DA9D_.wvu.PrintTitles" hidden="1" oldHidden="1">
    <formula>'ІІ. Розр. з бюджетом'!$5:$5</formula>
    <oldFormula>'ІІ. Розр. з бюджетом'!$5:$5</oldFormula>
  </rdn>
  <rdn rId="0" localSheetId="4" customView="1" name="Z_4BF2F851_A775_4F33_8DA4_C59D9D94DA9D_.wvu.PrintArea" hidden="1" oldHidden="1">
    <formula>'ІІІ. Рух грош. коштів'!$A$1:$I$85</formula>
    <oldFormula>'ІІІ. Рух грош. коштів'!$A$1:$I$85</oldFormula>
  </rdn>
  <rdn rId="0" localSheetId="4" customView="1" name="Z_4BF2F851_A775_4F33_8DA4_C59D9D94DA9D_.wvu.PrintTitles" hidden="1" oldHidden="1">
    <formula>'ІІІ. Рух грош. коштів'!$5:$5</formula>
    <oldFormula>'ІІІ. Рух грош. коштів'!$5:$5</oldFormula>
  </rdn>
  <rdn rId="0" localSheetId="5" customView="1" name="Z_4BF2F851_A775_4F33_8DA4_C59D9D94DA9D_.wvu.PrintArea" hidden="1" oldHidden="1">
    <formula>'IV. Кап. інвестиції'!$A$1:$I$16</formula>
    <oldFormula>'IV. Кап. інвестиції'!$A$1:$I$16</oldFormula>
  </rdn>
  <rdn rId="0" localSheetId="6" customView="1" name="Z_4BF2F851_A775_4F33_8DA4_C59D9D94DA9D_.wvu.PrintArea" hidden="1" oldHidden="1">
    <formula>' V. Коефіцієнти'!$A$1:$H$26</formula>
    <oldFormula>' V. Коефіцієнти'!$A$1:$H$26</oldFormula>
  </rdn>
  <rdn rId="0" localSheetId="6" customView="1" name="Z_4BF2F851_A775_4F33_8DA4_C59D9D94DA9D_.wvu.PrintTitles" hidden="1" oldHidden="1">
    <formula>' V. Коефіцієнти'!$5:$5</formula>
    <oldFormula>' V. Коефіцієнти'!$5:$5</oldFormula>
  </rdn>
  <rdn rId="0" localSheetId="7" customView="1" name="Z_4BF2F851_A775_4F33_8DA4_C59D9D94DA9D_.wvu.PrintArea" hidden="1" oldHidden="1">
    <formula>'6.1. Інша інфо_1'!$A$1:$O$81</formula>
    <oldFormula>'6.1. Інша інфо_1'!$A$1:$O$81</oldFormula>
  </rdn>
  <rdn rId="0" localSheetId="9" customView="1" name="Z_4BF2F851_A775_4F33_8DA4_C59D9D94DA9D_.wvu.PrintArea" hidden="1" oldHidden="1">
    <formula>'6.2. Інша інфо_2'!$A$1:$AE$54</formula>
    <oldFormula>'6.2. Інша інфо_2'!$A$1:$AE$54</oldFormula>
  </rdn>
  <rcv guid="{4BF2F851-A775-4F33-8DA4-C59D9D94DA9D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738" sId="7" numFmtId="34">
    <oc r="F31">
      <v>29131</v>
    </oc>
    <nc r="F31">
      <v>22678</v>
    </nc>
  </rcc>
  <rcc rId="739" sId="7" numFmtId="34">
    <oc r="F32">
      <v>12962</v>
    </oc>
    <nc r="F32">
      <v>11929</v>
    </nc>
  </rcc>
  <rcc rId="740" sId="7" numFmtId="34">
    <oc r="F33">
      <v>7881</v>
    </oc>
    <nc r="F33">
      <v>8069</v>
    </nc>
  </rcc>
  <rfmt sheetId="7" sqref="F31:G33">
    <dxf>
      <fill>
        <patternFill>
          <bgColor rgb="FF92D050"/>
        </patternFill>
      </fill>
    </dxf>
  </rfmt>
</revisions>
</file>

<file path=xl/revisions/revisionLog11311.xml><?xml version="1.0" encoding="utf-8"?>
<revisions xmlns="http://schemas.openxmlformats.org/spreadsheetml/2006/main" xmlns:r="http://schemas.openxmlformats.org/officeDocument/2006/relationships">
  <rcc rId="708" sId="9" numFmtId="4">
    <oc r="L30">
      <v>800</v>
    </oc>
    <nc r="L30">
      <v>667</v>
    </nc>
  </rcc>
  <rcc rId="709" sId="9" numFmtId="4">
    <oc r="M30">
      <v>800</v>
    </oc>
    <nc r="M30">
      <v>667</v>
    </nc>
  </rcc>
  <rcc rId="710" sId="9" numFmtId="4">
    <oc r="N30">
      <v>800</v>
    </oc>
    <nc r="N30">
      <v>667</v>
    </nc>
  </rcc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13111.xml><?xml version="1.0" encoding="utf-8"?>
<revisions xmlns="http://schemas.openxmlformats.org/spreadsheetml/2006/main" xmlns:r="http://schemas.openxmlformats.org/officeDocument/2006/relationships">
  <rcc rId="36" sId="2" numFmtId="4">
    <oc r="I97">
      <f>I99</f>
    </oc>
    <nc r="I97">
      <v>1151</v>
    </nc>
  </rcc>
  <rcc rId="37" sId="2" numFmtId="4">
    <oc r="I99">
      <f>I11+I12+219</f>
    </oc>
    <nc r="I99">
      <v>1151</v>
    </nc>
  </rcc>
</revisions>
</file>

<file path=xl/revisions/revisionLog1131111.xml><?xml version="1.0" encoding="utf-8"?>
<revisions xmlns="http://schemas.openxmlformats.org/spreadsheetml/2006/main" xmlns:r="http://schemas.openxmlformats.org/officeDocument/2006/relationships">
  <rcc rId="539" sId="1" numFmtId="4">
    <oc r="C74">
      <v>40978</v>
    </oc>
    <nc r="C74">
      <v>41167</v>
    </nc>
  </rcc>
  <rcc rId="540" sId="1" numFmtId="4">
    <oc r="C75">
      <v>2138</v>
    </oc>
    <nc r="C75">
      <v>1687</v>
    </nc>
  </rcc>
  <rcc rId="541" sId="1" numFmtId="4">
    <oc r="C76">
      <f>'ІІІ. Рух грош. коштів'!C79</f>
    </oc>
    <nc r="C76">
      <v>343</v>
    </nc>
  </rcc>
  <rcc rId="542" sId="1" numFmtId="4">
    <oc r="C77">
      <f>C74+C75</f>
    </oc>
    <nc r="C77">
      <v>42854</v>
    </nc>
  </rcc>
  <rcc rId="543" sId="1" numFmtId="4">
    <oc r="C79">
      <v>41980</v>
    </oc>
    <nc r="C79">
      <v>41325</v>
    </nc>
  </rcc>
  <rcc rId="544" sId="1" numFmtId="4">
    <oc r="C83">
      <v>1136</v>
    </oc>
    <nc r="C83">
      <v>1529</v>
    </nc>
  </rcc>
  <rfmt sheetId="1" sqref="C74:C83">
    <dxf>
      <fill>
        <patternFill>
          <bgColor rgb="FF92D050"/>
        </patternFill>
      </fill>
    </dxf>
  </rfmt>
</revisions>
</file>

<file path=xl/revisions/revisionLog113112.xml><?xml version="1.0" encoding="utf-8"?>
<revisions xmlns="http://schemas.openxmlformats.org/spreadsheetml/2006/main" xmlns:r="http://schemas.openxmlformats.org/officeDocument/2006/relationships">
  <rcc rId="545" sId="1" numFmtId="4">
    <oc r="D74">
      <v>15099</v>
    </oc>
    <nc r="D74">
      <v>40502</v>
    </nc>
  </rcc>
  <rcc rId="546" sId="1" numFmtId="4">
    <oc r="D75">
      <v>1873</v>
    </oc>
    <nc r="D75">
      <v>2137</v>
    </nc>
  </rcc>
  <rcc rId="547" sId="1" numFmtId="4">
    <oc r="D76">
      <f>'ІІІ. Рух грош. коштів'!D79</f>
    </oc>
    <nc r="D76">
      <v>647</v>
    </nc>
  </rcc>
  <rcc rId="548" sId="1" numFmtId="4">
    <oc r="D77">
      <f>D74+D75</f>
    </oc>
    <nc r="D77">
      <v>42639</v>
    </nc>
  </rcc>
  <rcc rId="549" sId="1" numFmtId="4">
    <oc r="D78">
      <v>11820</v>
    </oc>
    <nc r="D78"/>
  </rcc>
  <rcc rId="550" sId="1" numFmtId="4">
    <oc r="D79">
      <v>4148</v>
    </oc>
    <nc r="D79">
      <v>41053</v>
    </nc>
  </rcc>
  <rcc rId="551" sId="1" numFmtId="4">
    <oc r="D83">
      <v>1004</v>
    </oc>
    <nc r="D83">
      <v>1586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>
  <rfmt sheetId="1" sqref="I15" start="0" length="2147483647">
    <dxf>
      <font>
        <b/>
      </font>
    </dxf>
  </rfmt>
  <rcc rId="965" sId="1">
    <oc r="A5" t="inlineStr">
      <is>
        <t>_______________________Сушко К.А.</t>
      </is>
    </oc>
    <nc r="A5" t="inlineStr">
      <is>
        <t>_______________________    Сушко К.А.</t>
      </is>
    </nc>
  </rcc>
</revisions>
</file>

<file path=xl/revisions/revisionLog1141.xml><?xml version="1.0" encoding="utf-8"?>
<revisions xmlns="http://schemas.openxmlformats.org/spreadsheetml/2006/main" xmlns:r="http://schemas.openxmlformats.org/officeDocument/2006/relationships">
  <rcc rId="926" sId="2" numFmtId="4">
    <oc r="I15">
      <v>420</v>
    </oc>
    <nc r="I15">
      <v>1400</v>
    </nc>
  </rcc>
  <rcc rId="927" sId="2" numFmtId="4">
    <nc r="F15">
      <v>244</v>
    </nc>
  </rcc>
  <rcc rId="928" sId="2" numFmtId="4">
    <oc r="G15">
      <v>370</v>
    </oc>
    <nc r="G15">
      <v>866</v>
    </nc>
  </rcc>
  <rcc rId="929" sId="2" numFmtId="4">
    <oc r="H15">
      <v>390</v>
    </oc>
    <nc r="H15">
      <v>1123</v>
    </nc>
  </rcc>
</revisions>
</file>

<file path=xl/revisions/revisionLog11411.xml><?xml version="1.0" encoding="utf-8"?>
<revisions xmlns="http://schemas.openxmlformats.org/spreadsheetml/2006/main" xmlns:r="http://schemas.openxmlformats.org/officeDocument/2006/relationships">
  <rcc rId="770" sId="2" numFmtId="4">
    <oc r="I71">
      <v>639</v>
    </oc>
    <nc r="I71">
      <v>618</v>
    </nc>
  </rcc>
</revisions>
</file>

<file path=xl/revisions/revisionLog114111.xml><?xml version="1.0" encoding="utf-8"?>
<revisions xmlns="http://schemas.openxmlformats.org/spreadsheetml/2006/main" xmlns:r="http://schemas.openxmlformats.org/officeDocument/2006/relationships">
  <rfmt sheetId="1" sqref="F74:F83">
    <dxf>
      <fill>
        <patternFill>
          <bgColor rgb="FF92D050"/>
        </patternFill>
      </fill>
    </dxf>
  </rfmt>
</revisions>
</file>

<file path=xl/revisions/revisionLog11412.xml><?xml version="1.0" encoding="utf-8"?>
<revisions xmlns="http://schemas.openxmlformats.org/spreadsheetml/2006/main" xmlns:r="http://schemas.openxmlformats.org/officeDocument/2006/relationships">
  <rcc rId="637" sId="8">
    <oc r="K11">
      <f>E11+F11+G11+H11+I11+J11</f>
    </oc>
    <nc r="K11">
      <f>E11+F11+G11+H11+I11+J11</f>
    </nc>
  </rcc>
  <rcc rId="638" sId="8">
    <oc r="K12">
      <f>E12+F12+G12+H12+I12+J12</f>
    </oc>
    <nc r="K12">
      <f>E12+F12+G12+H12+I12+J12</f>
    </nc>
  </rcc>
  <rcc rId="639" sId="8">
    <oc r="K13">
      <f>E13+F13+G13+H13+I13+J13</f>
    </oc>
    <nc r="K13">
      <f>E13+F13+G13+H13+I13+J13</f>
    </nc>
  </rcc>
  <rcc rId="640" sId="8">
    <oc r="K14">
      <f>E14+F14+G14+H14+I14+J14</f>
    </oc>
    <nc r="K14">
      <f>E14+F14+G14+H14+I14+J14</f>
    </nc>
  </rcc>
  <rcc rId="641" sId="8">
    <oc r="K15">
      <f>E15+F15+G15+H15+I15+J15</f>
    </oc>
    <nc r="K15">
      <f>E15+F15+G15+H15+I15+J15</f>
    </nc>
  </rcc>
  <rcc rId="642" sId="8">
    <oc r="K16">
      <f>E16+F16+G16+H16+I16+J16</f>
    </oc>
    <nc r="K16">
      <f>E16+F16+G16+H16+I16+J16</f>
    </nc>
  </rcc>
  <rcc rId="643" sId="8">
    <oc r="K17">
      <f>E17+F17+G17+H17+I17+J17</f>
    </oc>
    <nc r="K17">
      <f>E17+F17+G17+H17+I17+J17</f>
    </nc>
  </rcc>
  <rcc rId="644" sId="8">
    <oc r="K18">
      <f>E18+F18+G18+H18+I18+J18</f>
    </oc>
    <nc r="K18">
      <f>E18+F18+G18+H18+I18+J18</f>
    </nc>
  </rcc>
  <rcc rId="645" sId="8">
    <oc r="K19">
      <f>E19+F19+G19+H19+I19+J19</f>
    </oc>
    <nc r="K19">
      <f>E19+F19+G19+H19+I19+J19</f>
    </nc>
  </rcc>
  <rcc rId="646" sId="8">
    <oc r="E19">
      <f>C19*D19</f>
    </oc>
    <nc r="E19">
      <f>C19*D19</f>
    </nc>
  </rcc>
  <rcc rId="647" sId="8">
    <oc r="K20">
      <f>E20+F20+G20+H20+I20+J20</f>
    </oc>
    <nc r="K20">
      <f>E20+F20+G20+H20+I20+J20</f>
    </nc>
  </rcc>
  <rcc rId="648" sId="8">
    <oc r="K21">
      <f>E21+F21+G21+H21+I21+J21</f>
    </oc>
    <nc r="K21">
      <f>E21+F21+G21+H21+I21+J21</f>
    </nc>
  </rcc>
  <rcc rId="649" sId="8">
    <oc r="K22">
      <f>E22+F22+G22+H22+I22+J22</f>
    </oc>
    <nc r="K22">
      <f>E22+F22+G22+H22+I22+J22</f>
    </nc>
  </rcc>
  <rcc rId="650" sId="8">
    <oc r="G22">
      <f>E22/2</f>
    </oc>
    <nc r="G22">
      <f>E22/2</f>
    </nc>
  </rcc>
  <rcc rId="651" sId="8">
    <oc r="K24">
      <f>E24+F24+G24+H24+I24+J24</f>
    </oc>
    <nc r="K24">
      <f>E24+F24+G24+H24+I24+J24</f>
    </nc>
  </rcc>
  <rcc rId="652" sId="8">
    <oc r="K25">
      <f>E25+F25+G25+H25+I25+J25</f>
    </oc>
    <nc r="K25">
      <f>E25+F25+G25+H25+I25+J25</f>
    </nc>
  </rcc>
  <rcc rId="653" sId="8">
    <oc r="K26">
      <f>E26+F26+G26+H26+I26+J26</f>
    </oc>
    <nc r="K26">
      <f>E26+F26+G26+H26+I26+J26</f>
    </nc>
  </rcc>
  <rcc rId="654" sId="8">
    <oc r="K27">
      <f>E27+F27+G27+H27+I27+J27</f>
    </oc>
    <nc r="K27">
      <f>E27+F27+G27+H27+I27+J27</f>
    </nc>
  </rcc>
  <rcc rId="655" sId="8">
    <oc r="K28">
      <f>E28+F28+G28+H28+I28+J28</f>
    </oc>
    <nc r="K28">
      <f>E28+F28+G28+H28+I28+J28</f>
    </nc>
  </rcc>
  <rcc rId="656" sId="8">
    <oc r="K29">
      <f>E29+F29+G29+H29+I29+J29</f>
    </oc>
    <nc r="K29">
      <f>E29+F29+G29+H29+I29+J29</f>
    </nc>
  </rcc>
  <rcc rId="657" sId="8">
    <oc r="K30">
      <f>E30+F30+G30+H30+I30+J30</f>
    </oc>
    <nc r="K30">
      <f>E30+F30+G30+H30+I30+J30</f>
    </nc>
  </rcc>
  <rcc rId="658" sId="8">
    <oc r="Q32">
      <f>P32/12</f>
    </oc>
    <nc r="Q32">
      <f>P32/12</f>
    </nc>
  </rcc>
  <rcc rId="659" sId="8">
    <oc r="U32">
      <f>O32+T32</f>
    </oc>
    <nc r="U32">
      <f>O32+T32</f>
    </nc>
  </rcc>
  <rcc rId="660" sId="8">
    <oc r="X10">
      <f>($F10+$G10+$H10+$I10+$N10+$Q10+$S10)*3</f>
    </oc>
    <nc r="X10">
      <f>($F10+$G10+$H10+$I10+$N10+$Q10+$S10)*3</f>
    </nc>
  </rcc>
  <rcc rId="661" sId="8">
    <oc r="X31">
      <f>($F31+$G31+$H31+$I31+$N31+$Q31+$S31)*3</f>
    </oc>
    <nc r="X31">
      <f>($F31+$G31+$H31+$I31+$N31+$Q31+$S31)*3</f>
    </nc>
  </rcc>
  <rfmt sheetId="8" sqref="X31">
    <dxf>
      <fill>
        <patternFill>
          <bgColor rgb="FFFF0000"/>
        </patternFill>
      </fill>
    </dxf>
  </rfmt>
  <rfmt sheetId="8" sqref="F31" start="0" length="2147483647">
    <dxf>
      <font>
        <color rgb="FFFF0000"/>
      </font>
    </dxf>
  </rfmt>
  <rfmt sheetId="8" sqref="Z31">
    <dxf>
      <fill>
        <patternFill>
          <bgColor rgb="FFFF0000"/>
        </patternFill>
      </fill>
    </dxf>
  </rfmt>
  <rfmt sheetId="8" sqref="AB31">
    <dxf>
      <fill>
        <patternFill>
          <bgColor rgb="FFFF0000"/>
        </patternFill>
      </fill>
    </dxf>
  </rfmt>
  <rfmt sheetId="8" sqref="AD31">
    <dxf>
      <fill>
        <patternFill>
          <bgColor rgb="FFFF0000"/>
        </patternFill>
      </fill>
    </dxf>
  </rfmt>
  <rcc rId="662" sId="8">
    <oc r="AD31">
      <f>($F31+$G31+$H31+$I31+$N31+$Q31+$S31)*12</f>
    </oc>
    <nc r="AD31">
      <f>($F31+$G31+$H31+$I31+$N31+$Q31+$S31)*12</f>
    </nc>
  </rcc>
  <rfmt sheetId="8" sqref="F31" start="0" length="2147483647">
    <dxf>
      <font>
        <color auto="1"/>
      </font>
    </dxf>
  </rfmt>
  <rfmt sheetId="8" sqref="F31">
    <dxf>
      <fill>
        <patternFill>
          <bgColor rgb="FFFF0000"/>
        </patternFill>
      </fill>
    </dxf>
  </rfmt>
  <rfmt sheetId="8" sqref="K31">
    <dxf>
      <fill>
        <patternFill>
          <bgColor rgb="FFFF0000"/>
        </patternFill>
      </fill>
    </dxf>
  </rfmt>
  <rfmt sheetId="8" sqref="AF10" start="0" length="0">
    <dxf>
      <fill>
        <patternFill>
          <bgColor theme="0"/>
        </patternFill>
      </fill>
    </dxf>
  </rfmt>
  <rfmt sheetId="8" sqref="AF11" start="0" length="0">
    <dxf>
      <fill>
        <patternFill>
          <bgColor theme="0"/>
        </patternFill>
      </fill>
    </dxf>
  </rfmt>
  <rfmt sheetId="8" sqref="AF12" start="0" length="0">
    <dxf>
      <fill>
        <patternFill>
          <bgColor theme="0"/>
        </patternFill>
      </fill>
    </dxf>
  </rfmt>
  <rfmt sheetId="8" sqref="AF13" start="0" length="0">
    <dxf>
      <fill>
        <patternFill>
          <bgColor theme="0"/>
        </patternFill>
      </fill>
    </dxf>
  </rfmt>
  <rfmt sheetId="8" sqref="AF14" start="0" length="0">
    <dxf>
      <fill>
        <patternFill>
          <bgColor theme="0"/>
        </patternFill>
      </fill>
    </dxf>
  </rfmt>
  <rfmt sheetId="8" sqref="AF15" start="0" length="0">
    <dxf>
      <fill>
        <patternFill>
          <bgColor theme="0"/>
        </patternFill>
      </fill>
    </dxf>
  </rfmt>
  <rfmt sheetId="8" sqref="AF16" start="0" length="0">
    <dxf>
      <fill>
        <patternFill>
          <bgColor theme="0"/>
        </patternFill>
      </fill>
    </dxf>
  </rfmt>
  <rfmt sheetId="8" sqref="AF17" start="0" length="0">
    <dxf>
      <fill>
        <patternFill>
          <bgColor theme="0"/>
        </patternFill>
      </fill>
    </dxf>
  </rfmt>
  <rfmt sheetId="8" sqref="AF18" start="0" length="0">
    <dxf>
      <fill>
        <patternFill>
          <bgColor theme="0"/>
        </patternFill>
      </fill>
    </dxf>
  </rfmt>
  <rfmt sheetId="8" sqref="AF19" start="0" length="0">
    <dxf>
      <fill>
        <patternFill>
          <bgColor theme="0"/>
        </patternFill>
      </fill>
    </dxf>
  </rfmt>
  <rfmt sheetId="8" sqref="AF24" start="0" length="0">
    <dxf>
      <fill>
        <patternFill>
          <bgColor theme="0"/>
        </patternFill>
      </fill>
    </dxf>
  </rfmt>
  <rfmt sheetId="8" sqref="AF10:AF32">
    <dxf>
      <numFmt numFmtId="164" formatCode="_-* #,##0.00_₴_-;\-* #,##0.00_₴_-;_-* &quot;-&quot;??_₴_-;_-@_-"/>
    </dxf>
  </rfmt>
  <rfmt sheetId="8" sqref="AF10:AF32">
    <dxf>
      <numFmt numFmtId="182" formatCode="_-* #,##0.0_₴_-;\-* #,##0.0_₴_-;_-* &quot;-&quot;??_₴_-;_-@_-"/>
    </dxf>
  </rfmt>
  <rfmt sheetId="8" sqref="AF10:AF32">
    <dxf>
      <numFmt numFmtId="181" formatCode="_-* #,##0_₴_-;\-* #,##0_₴_-;_-* &quot;-&quot;??_₴_-;_-@_-"/>
    </dxf>
  </rfmt>
  <rfmt sheetId="8" sqref="W32:AF32">
    <dxf>
      <fill>
        <patternFill>
          <bgColor rgb="FFFF0000"/>
        </patternFill>
      </fill>
    </dxf>
  </rfmt>
  <rcc rId="663" sId="8">
    <nc r="AF9" t="inlineStr">
      <is>
        <t>средняя зп</t>
      </is>
    </nc>
  </rcc>
  <rfmt sheetId="8" sqref="AF1:AF1048576">
    <dxf>
      <fill>
        <patternFill>
          <bgColor theme="9" tint="-0.249977111117893"/>
        </patternFill>
      </fill>
    </dxf>
  </rfmt>
  <rfmt sheetId="8" sqref="AF32">
    <dxf>
      <fill>
        <patternFill>
          <bgColor rgb="FFFF0000"/>
        </patternFill>
      </fill>
    </dxf>
  </rfmt>
  <rcc rId="664" sId="8">
    <oc r="X48">
      <f>X39+X42</f>
    </oc>
    <nc r="X48">
      <f>X39+X42</f>
    </nc>
  </rcc>
  <rcc rId="665" sId="8">
    <oc r="X49">
      <f>X40+X43</f>
    </oc>
    <nc r="X49">
      <f>X40+X43</f>
    </nc>
  </rcc>
  <rcc rId="666" sId="8">
    <oc r="Y48">
      <f>Y39+Y42</f>
    </oc>
    <nc r="Y48">
      <f>Y39+Y42</f>
    </nc>
  </rcc>
  <rcc rId="667" sId="8">
    <oc r="Y49">
      <f>Y40+Y43</f>
    </oc>
    <nc r="Y49">
      <f>Y40+Y43</f>
    </nc>
  </rcc>
  <rfmt sheetId="8" sqref="AG33" start="0" length="0">
    <dxf>
      <numFmt numFmtId="181" formatCode="_-* #,##0_₴_-;\-* #,##0_₴_-;_-* &quot;-&quot;??_₴_-;_-@_-"/>
    </dxf>
  </rfmt>
  <rcc rId="668" sId="8">
    <oc r="AE32">
      <f>AD32+AC32</f>
    </oc>
    <nc r="AE32">
      <f>AD32+AC32</f>
    </nc>
  </rcc>
  <rcc rId="669" sId="8">
    <nc r="AF10">
      <f>(AC10+AD10)/12/C10</f>
    </nc>
  </rcc>
  <rcc rId="670" sId="8">
    <nc r="AF11">
      <f>(AC11+AD11)/12/C11</f>
    </nc>
  </rcc>
  <rcc rId="671" sId="8">
    <nc r="AF12">
      <f>(AC12+AD12)/12/C12</f>
    </nc>
  </rcc>
  <rcc rId="672" sId="8">
    <nc r="AF13">
      <f>(AC13+AD13)/12/C13</f>
    </nc>
  </rcc>
  <rcc rId="673" sId="8">
    <nc r="AF14">
      <f>(AC14+AD14)/12/C14</f>
    </nc>
  </rcc>
  <rcc rId="674" sId="8">
    <nc r="AF15">
      <f>(AC15+AD15)/12/C15</f>
    </nc>
  </rcc>
  <rcc rId="675" sId="8">
    <nc r="AF16">
      <f>(AC16+AD16)/12/C16</f>
    </nc>
  </rcc>
  <rcc rId="676" sId="8">
    <nc r="AF17">
      <f>(AC17+AD17)/12/C17</f>
    </nc>
  </rcc>
  <rcc rId="677" sId="8">
    <nc r="AF18">
      <f>(AC18+AD18)/12/C18</f>
    </nc>
  </rcc>
  <rcc rId="678" sId="8">
    <nc r="AF19">
      <f>(AC19+AD19)/12/C19</f>
    </nc>
  </rcc>
  <rcc rId="679" sId="8">
    <nc r="AF20">
      <f>(AC20+AD20)/12/C20</f>
    </nc>
  </rcc>
  <rcc rId="680" sId="8">
    <nc r="AF21">
      <f>(AC21+AD21)/12/C21</f>
    </nc>
  </rcc>
  <rcc rId="681" sId="8">
    <nc r="AF22">
      <f>(AC22+AD22)/12/C22</f>
    </nc>
  </rcc>
  <rcc rId="682" sId="8">
    <nc r="AF23">
      <f>(AC23+AD23)/12/C23</f>
    </nc>
  </rcc>
  <rcc rId="683" sId="8">
    <nc r="AF24">
      <f>(AC24+AD24)/12/C24</f>
    </nc>
  </rcc>
  <rcc rId="684" sId="8">
    <nc r="AF25">
      <f>(AC25+AD25)/12/C25</f>
    </nc>
  </rcc>
  <rcc rId="685" sId="8">
    <nc r="AF26">
      <f>(AC26+AD26)/12/C26</f>
    </nc>
  </rcc>
  <rcc rId="686" sId="8">
    <nc r="AF27">
      <f>(AC27+AD27)/12/C27</f>
    </nc>
  </rcc>
  <rcc rId="687" sId="8">
    <nc r="AF28">
      <f>(AC28+AD28)/12/C28</f>
    </nc>
  </rcc>
  <rcc rId="688" sId="8">
    <nc r="AF29">
      <f>(AC29+AD29)/12/C29</f>
    </nc>
  </rcc>
  <rcc rId="689" sId="8">
    <nc r="AF30">
      <f>(AC30+AD30)/12/C30</f>
    </nc>
  </rcc>
  <rcc rId="690" sId="8">
    <nc r="AF31">
      <f>(AC31+AD31)/12/C31</f>
    </nc>
  </rcc>
  <rfmt sheetId="8" sqref="AF32" start="0" length="0">
    <dxf>
      <fill>
        <patternFill>
          <bgColor theme="9" tint="-0.249977111117893"/>
        </patternFill>
      </fill>
    </dxf>
  </rfmt>
  <rcc rId="691" sId="8">
    <nc r="AF32">
      <f>(AC32+AD32)/12/C32</f>
    </nc>
  </rcc>
  <rcc rId="692" sId="8">
    <oc r="E31">
      <f>C31*D31</f>
    </oc>
    <nc r="E31">
      <f>C31*D31</f>
    </nc>
  </rcc>
  <rcc rId="693" sId="8">
    <nc r="F35" t="inlineStr">
      <is>
        <t>умнож на 12</t>
      </is>
    </nc>
  </rcc>
  <rcc rId="694" sId="8">
    <nc r="K35" t="inlineStr">
      <is>
        <t>единая формула</t>
      </is>
    </nc>
  </rcc>
  <rfmt sheetId="8" sqref="K35 F35" start="0" length="2147483647">
    <dxf>
      <font>
        <i/>
      </font>
    </dxf>
  </rfmt>
  <rfmt sheetId="8" sqref="K35 F35" start="0" length="2147483647">
    <dxf>
      <font>
        <b/>
      </font>
    </dxf>
  </rfmt>
  <rfmt sheetId="8" sqref="K35 F35" start="0" length="2147483647">
    <dxf>
      <font>
        <color rgb="FF00B0F0"/>
      </font>
    </dxf>
  </rfmt>
  <rfmt sheetId="8" sqref="AF32" start="0" length="2147483647">
    <dxf>
      <font>
        <sz val="12"/>
      </font>
    </dxf>
  </rfmt>
  <rfmt sheetId="8" sqref="AF32">
    <dxf>
      <fill>
        <patternFill>
          <bgColor theme="9" tint="-0.499984740745262"/>
        </patternFill>
      </fill>
    </dxf>
  </rfmt>
  <rcv guid="{4BF2F851-A775-4F33-8DA4-C59D9D94DA9D}" action="delete"/>
  <rdn rId="0" localSheetId="1" customView="1" name="Z_4BF2F851_A775_4F33_8DA4_C59D9D94DA9D_.wvu.PrintArea" hidden="1" oldHidden="1">
    <formula>'Осн. фін. пок.'!$A$1:$J$87</formula>
    <oldFormula>'Осн. фін. пок.'!$A$1:$J$87</oldFormula>
  </rdn>
  <rdn rId="0" localSheetId="1" customView="1" name="Z_4BF2F851_A775_4F33_8DA4_C59D9D94DA9D_.wvu.PrintTitles" hidden="1" oldHidden="1">
    <formula>'Осн. фін. пок.'!$36:$36</formula>
    <oldFormula>'Осн. фін. пок.'!$36:$36</oldFormula>
  </rdn>
  <rdn rId="0" localSheetId="2" customView="1" name="Z_4BF2F851_A775_4F33_8DA4_C59D9D94DA9D_.wvu.PrintArea" hidden="1" oldHidden="1">
    <formula>'I. Фін результат'!$A$1:$J$110</formula>
    <oldFormula>'I. Фін результат'!$A$1:$J$110</oldFormula>
  </rdn>
  <rdn rId="0" localSheetId="2" customView="1" name="Z_4BF2F851_A775_4F33_8DA4_C59D9D94DA9D_.wvu.PrintTitles" hidden="1" oldHidden="1">
    <formula>'I. Фін результат'!$5:$5</formula>
    <oldFormula>'I. Фін результат'!$5:$5</oldFormula>
  </rdn>
  <rdn rId="0" localSheetId="3" customView="1" name="Z_4BF2F851_A775_4F33_8DA4_C59D9D94DA9D_.wvu.PrintArea" hidden="1" oldHidden="1">
    <formula>'ІІ. Розр. з бюджетом'!$A$1:$I$42</formula>
    <oldFormula>'ІІ. Розр. з бюджетом'!$A$1:$I$42</oldFormula>
  </rdn>
  <rdn rId="0" localSheetId="3" customView="1" name="Z_4BF2F851_A775_4F33_8DA4_C59D9D94DA9D_.wvu.PrintTitles" hidden="1" oldHidden="1">
    <formula>'ІІ. Розр. з бюджетом'!$5:$5</formula>
    <oldFormula>'ІІ. Розр. з бюджетом'!$5:$5</oldFormula>
  </rdn>
  <rdn rId="0" localSheetId="4" customView="1" name="Z_4BF2F851_A775_4F33_8DA4_C59D9D94DA9D_.wvu.PrintArea" hidden="1" oldHidden="1">
    <formula>'ІІІ. Рух грош. коштів'!$A$1:$I$85</formula>
    <oldFormula>'ІІІ. Рух грош. коштів'!$A$1:$I$85</oldFormula>
  </rdn>
  <rdn rId="0" localSheetId="4" customView="1" name="Z_4BF2F851_A775_4F33_8DA4_C59D9D94DA9D_.wvu.PrintTitles" hidden="1" oldHidden="1">
    <formula>'ІІІ. Рух грош. коштів'!$5:$5</formula>
    <oldFormula>'ІІІ. Рух грош. коштів'!$5:$5</oldFormula>
  </rdn>
  <rdn rId="0" localSheetId="5" customView="1" name="Z_4BF2F851_A775_4F33_8DA4_C59D9D94DA9D_.wvu.PrintArea" hidden="1" oldHidden="1">
    <formula>'IV. Кап. інвестиції'!$A$1:$I$16</formula>
    <oldFormula>'IV. Кап. інвестиції'!$A$1:$I$16</oldFormula>
  </rdn>
  <rdn rId="0" localSheetId="6" customView="1" name="Z_4BF2F851_A775_4F33_8DA4_C59D9D94DA9D_.wvu.PrintArea" hidden="1" oldHidden="1">
    <formula>' V. Коефіцієнти'!$A$1:$H$26</formula>
    <oldFormula>' V. Коефіцієнти'!$A$1:$H$26</oldFormula>
  </rdn>
  <rdn rId="0" localSheetId="6" customView="1" name="Z_4BF2F851_A775_4F33_8DA4_C59D9D94DA9D_.wvu.PrintTitles" hidden="1" oldHidden="1">
    <formula>' V. Коефіцієнти'!$5:$5</formula>
    <oldFormula>' V. Коефіцієнти'!$5:$5</oldFormula>
  </rdn>
  <rdn rId="0" localSheetId="7" customView="1" name="Z_4BF2F851_A775_4F33_8DA4_C59D9D94DA9D_.wvu.PrintArea" hidden="1" oldHidden="1">
    <formula>'6.1. Інша інфо_1'!$A$1:$O$81</formula>
    <oldFormula>'6.1. Інша інфо_1'!$A$1:$O$81</oldFormula>
  </rdn>
  <rdn rId="0" localSheetId="9" customView="1" name="Z_4BF2F851_A775_4F33_8DA4_C59D9D94DA9D_.wvu.PrintArea" hidden="1" oldHidden="1">
    <formula>'6.2. Інша інфо_2'!$A$1:$AE$54</formula>
    <oldFormula>'6.2. Інша інфо_2'!$A$1:$AE$54</oldFormula>
  </rdn>
  <rcv guid="{4BF2F851-A775-4F33-8DA4-C59D9D94DA9D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fmt sheetId="8" sqref="W32:AF32">
    <dxf>
      <fill>
        <patternFill>
          <bgColor rgb="FF92D050"/>
        </patternFill>
      </fill>
    </dxf>
  </rfmt>
</revisions>
</file>

<file path=xl/revisions/revisionLog1151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1511.xml><?xml version="1.0" encoding="utf-8"?>
<revisions xmlns="http://schemas.openxmlformats.org/spreadsheetml/2006/main" xmlns:r="http://schemas.openxmlformats.org/officeDocument/2006/relationships">
  <rcc rId="727" sId="7" numFmtId="34">
    <oc r="F12">
      <v>9</v>
    </oc>
    <nc r="F12">
      <v>5</v>
    </nc>
  </rcc>
  <rcc rId="728" sId="7" numFmtId="34">
    <oc r="F13">
      <v>11</v>
    </oc>
    <nc r="F13">
      <v>14</v>
    </nc>
  </rcc>
  <rfmt sheetId="7" sqref="F9:G9">
    <dxf>
      <fill>
        <patternFill>
          <bgColor rgb="FF92D050"/>
        </patternFill>
      </fill>
    </dxf>
  </rfmt>
  <rcc rId="729" sId="7" numFmtId="34">
    <oc r="F19">
      <v>350</v>
    </oc>
    <nc r="F19">
      <v>272</v>
    </nc>
  </rcc>
  <rcc rId="730" sId="7" numFmtId="34">
    <oc r="F20">
      <v>1711</v>
    </oc>
    <nc r="F20">
      <v>1145</v>
    </nc>
  </rcc>
  <rcc rId="731" sId="7" numFmtId="34">
    <oc r="F21">
      <v>3837</v>
    </oc>
    <nc r="F21">
      <v>3099</v>
    </nc>
  </rcc>
  <rfmt sheetId="7" sqref="F19:G21">
    <dxf>
      <fill>
        <patternFill>
          <bgColor rgb="FF92D050"/>
        </patternFill>
      </fill>
    </dxf>
  </rfmt>
</revisions>
</file>

<file path=xl/revisions/revisionLog11512.xml><?xml version="1.0" encoding="utf-8"?>
<revisions xmlns="http://schemas.openxmlformats.org/spreadsheetml/2006/main" xmlns:r="http://schemas.openxmlformats.org/officeDocument/2006/relationships">
  <rcc rId="732" sId="7" numFmtId="34">
    <oc r="F23">
      <v>426</v>
    </oc>
    <nc r="F23">
      <v>332</v>
    </nc>
  </rcc>
  <rcc rId="733" sId="7" numFmtId="34">
    <oc r="F24">
      <v>2034</v>
    </oc>
    <nc r="F24">
      <v>1375</v>
    </nc>
  </rcc>
  <rcc rId="734" sId="7" numFmtId="34">
    <oc r="F25">
      <v>3448</v>
    </oc>
    <nc r="F25">
      <v>3743</v>
    </nc>
  </rcc>
  <rfmt sheetId="7" sqref="F23:G25">
    <dxf>
      <fill>
        <patternFill>
          <bgColor rgb="FF92D050"/>
        </patternFill>
      </fill>
    </dxf>
  </rfmt>
  <rcc rId="735" sId="7" numFmtId="34">
    <oc r="F27">
      <v>22325</v>
    </oc>
    <nc r="F27">
      <v>17325</v>
    </nc>
  </rcc>
  <rcc rId="736" sId="7" numFmtId="34">
    <oc r="F28">
      <v>10084</v>
    </oc>
    <nc r="F28">
      <v>9328</v>
    </nc>
  </rcc>
  <rcc rId="737" sId="7" numFmtId="34">
    <oc r="F29">
      <v>3493</v>
    </oc>
    <nc r="F29">
      <v>2580</v>
    </nc>
  </rcc>
  <rfmt sheetId="7" sqref="F27:G29">
    <dxf>
      <fill>
        <patternFill>
          <bgColor rgb="FF92D050"/>
        </patternFill>
      </fill>
    </dxf>
  </rfmt>
</revisions>
</file>

<file path=xl/revisions/revisionLog116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161.xml><?xml version="1.0" encoding="utf-8"?>
<revisions xmlns="http://schemas.openxmlformats.org/spreadsheetml/2006/main" xmlns:r="http://schemas.openxmlformats.org/officeDocument/2006/relationships">
  <rfmt sheetId="8" sqref="K31">
    <dxf>
      <fill>
        <patternFill>
          <bgColor rgb="FF92D050"/>
        </patternFill>
      </fill>
    </dxf>
  </rfmt>
</revisions>
</file>

<file path=xl/revisions/revisionLog11611.xml><?xml version="1.0" encoding="utf-8"?>
<revisions xmlns="http://schemas.openxmlformats.org/spreadsheetml/2006/main" xmlns:r="http://schemas.openxmlformats.org/officeDocument/2006/relationships">
  <rcc rId="754" sId="1" numFmtId="4">
    <oc r="D74">
      <v>40502</v>
    </oc>
    <nc r="D74">
      <v>15272</v>
    </nc>
  </rcc>
  <rcc rId="755" sId="1" numFmtId="4">
    <oc r="D75">
      <v>2137</v>
    </oc>
    <nc r="D75">
      <v>1909</v>
    </nc>
  </rcc>
  <rcc rId="756" sId="1" numFmtId="4">
    <oc r="D77">
      <v>42639</v>
    </oc>
    <nc r="D77">
      <v>17181</v>
    </nc>
  </rcc>
  <rcc rId="757" sId="1" numFmtId="4">
    <oc r="D79">
      <v>41053</v>
    </oc>
    <nc r="D79">
      <v>11820</v>
    </nc>
  </rcc>
  <rcc rId="758" sId="1" numFmtId="4">
    <oc r="D83">
      <v>1586</v>
    </oc>
    <nc r="D83">
      <v>1213</v>
    </nc>
  </rcc>
</revisions>
</file>

<file path=xl/revisions/revisionLog116111.xml><?xml version="1.0" encoding="utf-8"?>
<revisions xmlns="http://schemas.openxmlformats.org/spreadsheetml/2006/main" xmlns:r="http://schemas.openxmlformats.org/officeDocument/2006/relationships">
  <rfmt sheetId="7" sqref="D9:E9">
    <dxf>
      <fill>
        <patternFill>
          <bgColor rgb="FF92D050"/>
        </patternFill>
      </fill>
    </dxf>
  </rfmt>
  <rcc rId="741" sId="7" numFmtId="34">
    <oc r="D12">
      <v>9</v>
    </oc>
    <nc r="D12">
      <v>5</v>
    </nc>
  </rcc>
  <rcc rId="742" sId="7" numFmtId="34">
    <oc r="D13">
      <v>11</v>
    </oc>
    <nc r="D13">
      <v>14</v>
    </nc>
  </rcc>
</revisions>
</file>

<file path=xl/revisions/revisionLog1162.xml><?xml version="1.0" encoding="utf-8"?>
<revisions xmlns="http://schemas.openxmlformats.org/spreadsheetml/2006/main" xmlns:r="http://schemas.openxmlformats.org/officeDocument/2006/relationships">
  <rfmt sheetId="6" sqref="E13:E17">
    <dxf>
      <numFmt numFmtId="4" formatCode="#,##0.00"/>
    </dxf>
  </rfmt>
  <rfmt sheetId="6" sqref="E18:E19">
    <dxf>
      <numFmt numFmtId="4" formatCode="#,##0.00"/>
    </dxf>
  </rfmt>
  <rcc rId="825" sId="4">
    <oc r="E13">
      <v>564</v>
    </oc>
    <nc r="E13">
      <f>564-53</f>
    </nc>
  </rcc>
  <rm rId="826" sheetId="2" source="E113:E116" destination="B113:B116" sourceSheetId="2">
    <rfmt sheetId="2" sqref="B113" start="0" length="0">
      <dxf>
        <font>
          <sz val="14"/>
          <color auto="1"/>
          <name val="Times New Roman"/>
          <scheme val="none"/>
        </font>
        <alignment horizontal="center" vertical="center" readingOrder="0"/>
        <protection locked="0"/>
      </dxf>
    </rfmt>
    <rfmt sheetId="2" sqref="B114" start="0" length="0">
      <dxf>
        <font>
          <sz val="14"/>
          <color auto="1"/>
          <name val="Times New Roman"/>
          <scheme val="none"/>
        </font>
        <alignment horizontal="center" vertical="center" readingOrder="0"/>
        <protection locked="0"/>
      </dxf>
    </rfmt>
    <rfmt sheetId="2" sqref="B115" start="0" length="0">
      <dxf>
        <font>
          <sz val="14"/>
          <color auto="1"/>
          <name val="Times New Roman"/>
          <scheme val="none"/>
        </font>
        <alignment horizontal="center" vertical="center" readingOrder="0"/>
        <protection locked="0"/>
      </dxf>
    </rfmt>
    <rfmt sheetId="2" sqref="B116" start="0" length="0">
      <dxf>
        <font>
          <sz val="14"/>
          <color auto="1"/>
          <name val="Times New Roman"/>
          <scheme val="none"/>
        </font>
        <alignment horizontal="center" vertical="center" readingOrder="0"/>
        <protection locked="0"/>
      </dxf>
    </rfmt>
  </rm>
  <rcc rId="827" sId="2">
    <nc r="E113">
      <v>219</v>
    </nc>
  </rcc>
  <rcc rId="828" sId="2">
    <nc r="E114">
      <v>31</v>
    </nc>
  </rcc>
  <rcc rId="829" sId="2">
    <oc r="C102">
      <v>293</v>
    </oc>
    <nc r="C102">
      <f>C16+C34+C53+25</f>
    </nc>
  </rcc>
  <rcc rId="830" sId="2" numFmtId="4">
    <nc r="C114">
      <v>25</v>
    </nc>
  </rcc>
  <rcc rId="831" sId="2">
    <nc r="C113">
      <f>C25-C114</f>
    </nc>
  </rcc>
  <rcc rId="832" sId="2" numFmtId="4">
    <nc r="D114">
      <v>31</v>
    </nc>
  </rcc>
  <rcc rId="833" sId="2" odxf="1" dxf="1">
    <nc r="D113">
      <f>D25-D114</f>
    </nc>
    <ndxf>
      <alignment horizontal="center" readingOrder="0"/>
    </ndxf>
  </rcc>
  <rcc rId="834" sId="2" numFmtId="4">
    <oc r="C99">
      <v>1385</v>
    </oc>
    <nc r="C99">
      <f>C11+C12+C113</f>
    </nc>
  </rcc>
  <rcc rId="835" sId="2" numFmtId="4">
    <oc r="D99">
      <v>1594</v>
    </oc>
    <nc r="D99">
      <f>D11+D12+D113</f>
    </nc>
  </rcc>
  <rcc rId="836" sId="2" numFmtId="4">
    <oc r="E99">
      <v>844</v>
    </oc>
    <nc r="E99">
      <f>E11+E12+E113</f>
    </nc>
  </rcc>
  <rcc rId="837" sId="2" numFmtId="4">
    <oc r="F99">
      <v>490</v>
    </oc>
    <nc r="F99">
      <f>F11+F12+F113</f>
    </nc>
  </rcc>
  <rcc rId="838" sId="2" numFmtId="4">
    <oc r="G99">
      <v>980</v>
    </oc>
    <nc r="G99">
      <f>G11+G12+G113</f>
    </nc>
  </rcc>
  <rcc rId="839" sId="2" numFmtId="4">
    <oc r="H99">
      <v>1471</v>
    </oc>
    <nc r="H99">
      <f>H11+H12+H113</f>
    </nc>
  </rcc>
  <rcc rId="840" sId="2" numFmtId="4">
    <oc r="I99">
      <v>1965</v>
    </oc>
    <nc r="I99">
      <f>I11+I12+I113</f>
    </nc>
  </rcc>
  <rfmt sheetId="2" sqref="C99:I99">
    <dxf>
      <fill>
        <patternFill>
          <bgColor rgb="FF92D050"/>
        </patternFill>
      </fill>
    </dxf>
  </rfmt>
  <rcc rId="841" sId="2">
    <oc r="J99" t="inlineStr">
      <is>
        <t>формула</t>
      </is>
    </oc>
    <nc r="J99"/>
  </rcc>
  <rcc rId="842" sId="2">
    <oc r="C98">
      <f>C10</f>
    </oc>
    <nc r="C98"/>
  </rcc>
  <rcc rId="843" sId="2">
    <oc r="E98">
      <f>E10</f>
    </oc>
    <nc r="E98"/>
  </rcc>
  <rcc rId="844" sId="2">
    <oc r="F98">
      <f>F10</f>
    </oc>
    <nc r="F98"/>
  </rcc>
  <rcc rId="845" sId="2">
    <oc r="G98">
      <f>G10</f>
    </oc>
    <nc r="G98"/>
  </rcc>
  <rcc rId="846" sId="2">
    <oc r="H98">
      <f>H10</f>
    </oc>
    <nc r="H98"/>
  </rcc>
  <rcc rId="847" sId="2">
    <oc r="K99" t="inlineStr">
      <is>
        <t>Ставила по факту</t>
      </is>
    </oc>
    <nc r="K99"/>
  </rcc>
  <rcc rId="848" sId="2">
    <nc r="J79" t="inlineStr">
      <is>
        <t>от куда такая прибыль?</t>
      </is>
    </nc>
  </rcc>
  <rfmt sheetId="2" sqref="J79">
    <dxf>
      <fill>
        <patternFill patternType="solid">
          <bgColor rgb="FFFF0000"/>
        </patternFill>
      </fill>
    </dxf>
  </rfmt>
  <rcv guid="{4BF2F851-A775-4F33-8DA4-C59D9D94DA9D}" action="delete"/>
  <rdn rId="0" localSheetId="1" customView="1" name="Z_4BF2F851_A775_4F33_8DA4_C59D9D94DA9D_.wvu.PrintArea" hidden="1" oldHidden="1">
    <formula>'Осн. фін. пок.'!$A$1:$J$87</formula>
    <oldFormula>'Осн. фін. пок.'!$A$1:$J$87</oldFormula>
  </rdn>
  <rdn rId="0" localSheetId="1" customView="1" name="Z_4BF2F851_A775_4F33_8DA4_C59D9D94DA9D_.wvu.PrintTitles" hidden="1" oldHidden="1">
    <formula>'Осн. фін. пок.'!$36:$36</formula>
    <oldFormula>'Осн. фін. пок.'!$36:$36</oldFormula>
  </rdn>
  <rdn rId="0" localSheetId="2" customView="1" name="Z_4BF2F851_A775_4F33_8DA4_C59D9D94DA9D_.wvu.PrintArea" hidden="1" oldHidden="1">
    <formula>'I. Фін результат'!$A$1:$J$110</formula>
    <oldFormula>'I. Фін результат'!$A$1:$J$110</oldFormula>
  </rdn>
  <rdn rId="0" localSheetId="2" customView="1" name="Z_4BF2F851_A775_4F33_8DA4_C59D9D94DA9D_.wvu.PrintTitles" hidden="1" oldHidden="1">
    <formula>'I. Фін результат'!$5:$5</formula>
    <oldFormula>'I. Фін результат'!$5:$5</oldFormula>
  </rdn>
  <rdn rId="0" localSheetId="3" customView="1" name="Z_4BF2F851_A775_4F33_8DA4_C59D9D94DA9D_.wvu.PrintArea" hidden="1" oldHidden="1">
    <formula>'ІІ. Розр. з бюджетом'!$A$1:$I$42</formula>
    <oldFormula>'ІІ. Розр. з бюджетом'!$A$1:$I$42</oldFormula>
  </rdn>
  <rdn rId="0" localSheetId="3" customView="1" name="Z_4BF2F851_A775_4F33_8DA4_C59D9D94DA9D_.wvu.PrintTitles" hidden="1" oldHidden="1">
    <formula>'ІІ. Розр. з бюджетом'!$5:$5</formula>
    <oldFormula>'ІІ. Розр. з бюджетом'!$5:$5</oldFormula>
  </rdn>
  <rdn rId="0" localSheetId="4" customView="1" name="Z_4BF2F851_A775_4F33_8DA4_C59D9D94DA9D_.wvu.PrintArea" hidden="1" oldHidden="1">
    <formula>'ІІІ. Рух грош. коштів'!$A$1:$I$85</formula>
    <oldFormula>'ІІІ. Рух грош. коштів'!$A$1:$I$85</oldFormula>
  </rdn>
  <rdn rId="0" localSheetId="4" customView="1" name="Z_4BF2F851_A775_4F33_8DA4_C59D9D94DA9D_.wvu.PrintTitles" hidden="1" oldHidden="1">
    <formula>'ІІІ. Рух грош. коштів'!$5:$5</formula>
    <oldFormula>'ІІІ. Рух грош. коштів'!$5:$5</oldFormula>
  </rdn>
  <rdn rId="0" localSheetId="5" customView="1" name="Z_4BF2F851_A775_4F33_8DA4_C59D9D94DA9D_.wvu.PrintArea" hidden="1" oldHidden="1">
    <formula>'IV. Кап. інвестиції'!$A$1:$I$16</formula>
    <oldFormula>'IV. Кап. інвестиції'!$A$1:$I$16</oldFormula>
  </rdn>
  <rdn rId="0" localSheetId="6" customView="1" name="Z_4BF2F851_A775_4F33_8DA4_C59D9D94DA9D_.wvu.PrintArea" hidden="1" oldHidden="1">
    <formula>' V. Коефіцієнти'!$A$1:$H$26</formula>
    <oldFormula>' V. Коефіцієнти'!$A$1:$H$26</oldFormula>
  </rdn>
  <rdn rId="0" localSheetId="6" customView="1" name="Z_4BF2F851_A775_4F33_8DA4_C59D9D94DA9D_.wvu.PrintTitles" hidden="1" oldHidden="1">
    <formula>' V. Коефіцієнти'!$5:$5</formula>
    <oldFormula>' V. Коефіцієнти'!$5:$5</oldFormula>
  </rdn>
  <rdn rId="0" localSheetId="7" customView="1" name="Z_4BF2F851_A775_4F33_8DA4_C59D9D94DA9D_.wvu.PrintArea" hidden="1" oldHidden="1">
    <formula>'6.1. Інша інфо_1'!$A$1:$O$81</formula>
    <oldFormula>'6.1. Інша інфо_1'!$A$1:$O$81</oldFormula>
  </rdn>
  <rdn rId="0" localSheetId="9" customView="1" name="Z_4BF2F851_A775_4F33_8DA4_C59D9D94DA9D_.wvu.PrintArea" hidden="1" oldHidden="1">
    <formula>'6.2. Інша інфо_2'!$A$1:$AE$54</formula>
    <oldFormula>'6.2. Інша інфо_2'!$A$1:$AE$54</oldFormula>
  </rdn>
  <rcv guid="{4BF2F851-A775-4F33-8DA4-C59D9D94DA9D}" action="add"/>
</revisions>
</file>

<file path=xl/revisions/revisionLog11621.xml><?xml version="1.0" encoding="utf-8"?>
<revisions xmlns="http://schemas.openxmlformats.org/spreadsheetml/2006/main" xmlns:r="http://schemas.openxmlformats.org/officeDocument/2006/relationships">
  <rcc rId="766" sId="2" numFmtId="4">
    <oc r="I71">
      <v>549</v>
    </oc>
    <nc r="I71">
      <v>639</v>
    </nc>
  </rcc>
  <rcc rId="767" sId="2" numFmtId="4">
    <oc r="F71">
      <v>79</v>
    </oc>
    <nc r="F71">
      <v>94</v>
    </nc>
  </rcc>
  <rcc rId="768" sId="2" numFmtId="4">
    <oc r="G71">
      <v>83</v>
    </oc>
    <nc r="G71">
      <v>122</v>
    </nc>
  </rcc>
  <rcc rId="769" sId="2" numFmtId="4">
    <oc r="H71">
      <v>521</v>
    </oc>
    <nc r="H71">
      <v>570</v>
    </nc>
  </rcc>
</revisions>
</file>

<file path=xl/revisions/revisionLog117.xml><?xml version="1.0" encoding="utf-8"?>
<revisions xmlns="http://schemas.openxmlformats.org/spreadsheetml/2006/main" xmlns:r="http://schemas.openxmlformats.org/officeDocument/2006/relationships">
  <rfmt sheetId="2" sqref="I71">
    <dxf>
      <fill>
        <patternFill>
          <bgColor theme="0"/>
        </patternFill>
      </fill>
    </dxf>
  </rfmt>
  <rcc rId="936" sId="2">
    <oc r="J71" t="inlineStr">
      <is>
        <t>кто компенсирует?</t>
      </is>
    </oc>
    <nc r="J71"/>
  </rcc>
  <rfmt sheetId="2" sqref="J15">
    <dxf>
      <fill>
        <patternFill>
          <bgColor theme="0"/>
        </patternFill>
      </fill>
    </dxf>
  </rfmt>
  <rcc rId="937" sId="1" numFmtId="4">
    <oc r="E75">
      <f>F75+'IV. Кап. інвестиції'!I7-'I. Фін результат'!I103</f>
    </oc>
    <nc r="E75">
      <v>850</v>
    </nc>
  </rcc>
  <rcc rId="938" sId="2">
    <oc r="J79" t="inlineStr">
      <is>
        <t>от куда такая прибыль?</t>
      </is>
    </oc>
    <nc r="J79"/>
  </rcc>
  <rfmt sheetId="2" sqref="J79">
    <dxf>
      <fill>
        <patternFill>
          <bgColor theme="0"/>
        </patternFill>
      </fill>
    </dxf>
  </rfmt>
  <rcv guid="{4BF2F851-A775-4F33-8DA4-C59D9D94DA9D}" action="delete"/>
  <rdn rId="0" localSheetId="1" customView="1" name="Z_4BF2F851_A775_4F33_8DA4_C59D9D94DA9D_.wvu.PrintArea" hidden="1" oldHidden="1">
    <formula>'Осн. фін. пок.'!$A$1:$J$87</formula>
    <oldFormula>'Осн. фін. пок.'!$A$1:$J$87</oldFormula>
  </rdn>
  <rdn rId="0" localSheetId="1" customView="1" name="Z_4BF2F851_A775_4F33_8DA4_C59D9D94DA9D_.wvu.PrintTitles" hidden="1" oldHidden="1">
    <formula>'Осн. фін. пок.'!$36:$36</formula>
    <oldFormula>'Осн. фін. пок.'!$36:$36</oldFormula>
  </rdn>
  <rdn rId="0" localSheetId="2" customView="1" name="Z_4BF2F851_A775_4F33_8DA4_C59D9D94DA9D_.wvu.PrintArea" hidden="1" oldHidden="1">
    <formula>'I. Фін результат'!$A$1:$J$110</formula>
    <oldFormula>'I. Фін результат'!$A$1:$J$110</oldFormula>
  </rdn>
  <rdn rId="0" localSheetId="2" customView="1" name="Z_4BF2F851_A775_4F33_8DA4_C59D9D94DA9D_.wvu.PrintTitles" hidden="1" oldHidden="1">
    <formula>'I. Фін результат'!$5:$5</formula>
    <oldFormula>'I. Фін результат'!$5:$5</oldFormula>
  </rdn>
  <rdn rId="0" localSheetId="3" customView="1" name="Z_4BF2F851_A775_4F33_8DA4_C59D9D94DA9D_.wvu.PrintArea" hidden="1" oldHidden="1">
    <formula>'ІІ. Розр. з бюджетом'!$A$1:$I$42</formula>
    <oldFormula>'ІІ. Розр. з бюджетом'!$A$1:$I$42</oldFormula>
  </rdn>
  <rdn rId="0" localSheetId="3" customView="1" name="Z_4BF2F851_A775_4F33_8DA4_C59D9D94DA9D_.wvu.PrintTitles" hidden="1" oldHidden="1">
    <formula>'ІІ. Розр. з бюджетом'!$5:$5</formula>
    <oldFormula>'ІІ. Розр. з бюджетом'!$5:$5</oldFormula>
  </rdn>
  <rdn rId="0" localSheetId="4" customView="1" name="Z_4BF2F851_A775_4F33_8DA4_C59D9D94DA9D_.wvu.PrintArea" hidden="1" oldHidden="1">
    <formula>'ІІІ. Рух грош. коштів'!$A$1:$I$85</formula>
    <oldFormula>'ІІІ. Рух грош. коштів'!$A$1:$I$85</oldFormula>
  </rdn>
  <rdn rId="0" localSheetId="4" customView="1" name="Z_4BF2F851_A775_4F33_8DA4_C59D9D94DA9D_.wvu.PrintTitles" hidden="1" oldHidden="1">
    <formula>'ІІІ. Рух грош. коштів'!$5:$5</formula>
    <oldFormula>'ІІІ. Рух грош. коштів'!$5:$5</oldFormula>
  </rdn>
  <rdn rId="0" localSheetId="5" customView="1" name="Z_4BF2F851_A775_4F33_8DA4_C59D9D94DA9D_.wvu.PrintArea" hidden="1" oldHidden="1">
    <formula>'IV. Кап. інвестиції'!$A$1:$I$16</formula>
    <oldFormula>'IV. Кап. інвестиції'!$A$1:$I$16</oldFormula>
  </rdn>
  <rdn rId="0" localSheetId="6" customView="1" name="Z_4BF2F851_A775_4F33_8DA4_C59D9D94DA9D_.wvu.PrintArea" hidden="1" oldHidden="1">
    <formula>' V. Коефіцієнти'!$A$1:$H$26</formula>
    <oldFormula>' V. Коефіцієнти'!$A$1:$H$26</oldFormula>
  </rdn>
  <rdn rId="0" localSheetId="6" customView="1" name="Z_4BF2F851_A775_4F33_8DA4_C59D9D94DA9D_.wvu.PrintTitles" hidden="1" oldHidden="1">
    <formula>' V. Коефіцієнти'!$5:$5</formula>
    <oldFormula>' V. Коефіцієнти'!$5:$5</oldFormula>
  </rdn>
  <rdn rId="0" localSheetId="7" customView="1" name="Z_4BF2F851_A775_4F33_8DA4_C59D9D94DA9D_.wvu.PrintArea" hidden="1" oldHidden="1">
    <formula>'6.1. Інша інфо_1'!$A$1:$O$81</formula>
    <oldFormula>'6.1. Інша інфо_1'!$A$1:$O$81</oldFormula>
  </rdn>
  <rdn rId="0" localSheetId="9" customView="1" name="Z_4BF2F851_A775_4F33_8DA4_C59D9D94DA9D_.wvu.PrintArea" hidden="1" oldHidden="1">
    <formula>'6.2. Інша інфо_2'!$A$1:$AE$54</formula>
    <oldFormula>'6.2. Інша інфо_2'!$A$1:$AE$54</oldFormula>
  </rdn>
  <rcv guid="{4BF2F851-A775-4F33-8DA4-C59D9D94DA9D}" action="add"/>
</revisions>
</file>

<file path=xl/revisions/revisionLog1171.xml><?xml version="1.0" encoding="utf-8"?>
<revisions xmlns="http://schemas.openxmlformats.org/spreadsheetml/2006/main" xmlns:r="http://schemas.openxmlformats.org/officeDocument/2006/relationships">
  <rcc rId="771" sId="2" odxf="1" dxf="1">
    <nc r="K99" t="inlineStr">
      <is>
        <t>Ставила по факту</t>
      </is>
    </nc>
    <odxf/>
    <ndxf/>
  </rcc>
  <rfmt sheetId="2" sqref="C99:I99">
    <dxf>
      <fill>
        <patternFill>
          <bgColor rgb="FF92D050"/>
        </patternFill>
      </fill>
    </dxf>
  </rfmt>
</revisions>
</file>

<file path=xl/revisions/revisionLog11711.xml><?xml version="1.0" encoding="utf-8"?>
<revisions xmlns="http://schemas.openxmlformats.org/spreadsheetml/2006/main" xmlns:r="http://schemas.openxmlformats.org/officeDocument/2006/relationships">
  <rfmt sheetId="9" sqref="M25">
    <dxf>
      <fill>
        <patternFill>
          <bgColor theme="0"/>
        </patternFill>
      </fill>
    </dxf>
  </rfmt>
  <rfmt sheetId="9" sqref="L30:N30">
    <dxf>
      <fill>
        <patternFill>
          <bgColor rgb="FF92D050"/>
        </patternFill>
      </fill>
    </dxf>
  </rfmt>
</revisions>
</file>

<file path=xl/revisions/revisionLog1172.xml><?xml version="1.0" encoding="utf-8"?>
<revisions xmlns="http://schemas.openxmlformats.org/spreadsheetml/2006/main" xmlns:r="http://schemas.openxmlformats.org/officeDocument/2006/relationships">
  <rcc rId="930" sId="2" odxf="1" dxf="1">
    <nc r="K71" t="inlineStr">
      <is>
        <t>Водно-лижний клуб Сентоза</t>
      </is>
    </nc>
    <odxf/>
    <ndxf/>
  </rcc>
</revisions>
</file>

<file path=xl/revisions/revisionLog11721.xml><?xml version="1.0" encoding="utf-8"?>
<revisions xmlns="http://schemas.openxmlformats.org/spreadsheetml/2006/main" xmlns:r="http://schemas.openxmlformats.org/officeDocument/2006/relationships">
  <rfmt sheetId="2" sqref="C99:I99">
    <dxf>
      <fill>
        <patternFill>
          <bgColor theme="0"/>
        </patternFill>
      </fill>
    </dxf>
  </rfmt>
</revisions>
</file>

<file path=xl/revisions/revisionLog117211.xml><?xml version="1.0" encoding="utf-8"?>
<revisions xmlns="http://schemas.openxmlformats.org/spreadsheetml/2006/main" xmlns:r="http://schemas.openxmlformats.org/officeDocument/2006/relationships">
  <rfmt sheetId="1" sqref="D74:D83">
    <dxf>
      <fill>
        <patternFill>
          <bgColor theme="0"/>
        </patternFill>
      </fill>
    </dxf>
  </rfmt>
  <rfmt sheetId="1" sqref="E75">
    <dxf>
      <fill>
        <patternFill>
          <bgColor theme="0"/>
        </patternFill>
      </fill>
    </dxf>
  </rfmt>
  <rfmt sheetId="1" sqref="E74:E83">
    <dxf>
      <fill>
        <patternFill>
          <bgColor rgb="FFFF0000"/>
        </patternFill>
      </fill>
    </dxf>
  </rfmt>
  <rcc rId="772" sId="1">
    <oc r="D84" t="inlineStr">
      <is>
        <t>план 2020</t>
      </is>
    </oc>
    <nc r="D84"/>
  </rcc>
  <rcc rId="773" sId="1">
    <nc r="E84" t="inlineStr">
      <is>
        <t>актив==пасив</t>
      </is>
    </nc>
  </rcc>
  <rfmt sheetId="2" sqref="C99:I99">
    <dxf>
      <fill>
        <patternFill>
          <bgColor rgb="FFFF0000"/>
        </patternFill>
      </fill>
    </dxf>
  </rfmt>
  <rcc rId="774" sId="2">
    <nc r="C111">
      <f>C104+C77</f>
    </nc>
  </rcc>
  <rcc rId="775" sId="2" odxf="1" dxf="1">
    <nc r="D111">
      <f>D104+D77</f>
    </nc>
    <odxf>
      <alignment horizontal="right" readingOrder="0"/>
    </odxf>
    <ndxf>
      <alignment horizontal="center" readingOrder="0"/>
    </ndxf>
  </rcc>
  <rcc rId="776" sId="2" odxf="1" dxf="1">
    <nc r="E111">
      <f>E104+E77</f>
    </nc>
    <odxf>
      <fill>
        <patternFill patternType="solid">
          <bgColor theme="0"/>
        </patternFill>
      </fill>
      <alignment horizontal="right" readingOrder="0"/>
    </odxf>
    <ndxf>
      <fill>
        <patternFill patternType="none">
          <bgColor indexed="65"/>
        </patternFill>
      </fill>
      <alignment horizontal="center" readingOrder="0"/>
    </ndxf>
  </rcc>
  <rcc rId="777" sId="2" odxf="1" dxf="1">
    <nc r="F111">
      <f>F104+F77</f>
    </nc>
    <odxf>
      <alignment horizontal="right" readingOrder="0"/>
    </odxf>
    <ndxf>
      <alignment horizontal="center" readingOrder="0"/>
    </ndxf>
  </rcc>
  <rcc rId="778" sId="2" odxf="1" dxf="1">
    <nc r="G111">
      <f>G104+G77</f>
    </nc>
    <odxf>
      <alignment horizontal="right" readingOrder="0"/>
    </odxf>
    <ndxf>
      <alignment horizontal="center" readingOrder="0"/>
    </ndxf>
  </rcc>
  <rcc rId="779" sId="2" odxf="1" dxf="1">
    <nc r="H111">
      <f>H104+H77</f>
    </nc>
    <odxf>
      <alignment horizontal="right" readingOrder="0"/>
    </odxf>
    <ndxf>
      <alignment horizontal="center" readingOrder="0"/>
    </ndxf>
  </rcc>
  <rcc rId="780" sId="2" odxf="1" dxf="1">
    <nc r="I111">
      <f>I104+I77</f>
    </nc>
    <odxf>
      <alignment horizontal="right" readingOrder="0"/>
    </odxf>
    <ndxf>
      <alignment horizontal="center" readingOrder="0"/>
    </ndxf>
  </rcc>
  <rfmt sheetId="2" sqref="I71">
    <dxf>
      <fill>
        <patternFill>
          <bgColor rgb="FFFF0000"/>
        </patternFill>
      </fill>
    </dxf>
  </rfmt>
  <rcc rId="781" sId="2" odxf="1" dxf="1">
    <nc r="J71" t="inlineStr">
      <is>
        <t>кто компенсирует?</t>
      </is>
    </nc>
    <odxf/>
    <ndxf/>
  </rcc>
  <rfmt sheetId="7" sqref="A19:K33">
    <dxf>
      <fill>
        <patternFill>
          <bgColor theme="0"/>
        </patternFill>
      </fill>
    </dxf>
  </rfmt>
  <rfmt sheetId="9" sqref="L30:N30">
    <dxf>
      <fill>
        <patternFill>
          <bgColor theme="0"/>
        </patternFill>
      </fill>
    </dxf>
  </rfmt>
  <rcc rId="782" sId="9">
    <oc r="M25" t="inlineStr">
      <is>
        <t>без пдв</t>
      </is>
    </oc>
    <nc r="M25"/>
  </rcc>
  <rcc rId="783" sId="8">
    <oc r="K31">
      <f>E31+F31+G31+H31+I31+J31</f>
    </oc>
    <nc r="K31">
      <f>E31+F31+G31+H31+I31+J31</f>
    </nc>
  </rcc>
  <rfmt sheetId="8" sqref="W32:AF32">
    <dxf>
      <fill>
        <patternFill>
          <bgColor rgb="FFFF0000"/>
        </patternFill>
      </fill>
    </dxf>
  </rfmt>
  <rcc rId="784" sId="8">
    <nc r="K34">
      <f>K32/2</f>
    </nc>
  </rcc>
  <rcc rId="785" sId="8">
    <oc r="O32">
      <f>L32+M32</f>
    </oc>
    <nc r="O32">
      <f>L32+M32</f>
    </nc>
  </rcc>
  <rcc rId="786" sId="8">
    <oc r="AF15">
      <f>(AC15+AD15)/12/C15</f>
    </oc>
    <nc r="AF15">
      <f>(AC15+AD15)/12/C15</f>
    </nc>
  </rcc>
  <rcv guid="{4BF2F851-A775-4F33-8DA4-C59D9D94DA9D}" action="delete"/>
  <rdn rId="0" localSheetId="1" customView="1" name="Z_4BF2F851_A775_4F33_8DA4_C59D9D94DA9D_.wvu.PrintArea" hidden="1" oldHidden="1">
    <formula>'Осн. фін. пок.'!$A$1:$J$87</formula>
    <oldFormula>'Осн. фін. пок.'!$A$1:$J$87</oldFormula>
  </rdn>
  <rdn rId="0" localSheetId="1" customView="1" name="Z_4BF2F851_A775_4F33_8DA4_C59D9D94DA9D_.wvu.PrintTitles" hidden="1" oldHidden="1">
    <formula>'Осн. фін. пок.'!$36:$36</formula>
    <oldFormula>'Осн. фін. пок.'!$36:$36</oldFormula>
  </rdn>
  <rdn rId="0" localSheetId="2" customView="1" name="Z_4BF2F851_A775_4F33_8DA4_C59D9D94DA9D_.wvu.PrintArea" hidden="1" oldHidden="1">
    <formula>'I. Фін результат'!$A$1:$J$110</formula>
    <oldFormula>'I. Фін результат'!$A$1:$J$110</oldFormula>
  </rdn>
  <rdn rId="0" localSheetId="2" customView="1" name="Z_4BF2F851_A775_4F33_8DA4_C59D9D94DA9D_.wvu.PrintTitles" hidden="1" oldHidden="1">
    <formula>'I. Фін результат'!$5:$5</formula>
    <oldFormula>'I. Фін результат'!$5:$5</oldFormula>
  </rdn>
  <rdn rId="0" localSheetId="3" customView="1" name="Z_4BF2F851_A775_4F33_8DA4_C59D9D94DA9D_.wvu.PrintArea" hidden="1" oldHidden="1">
    <formula>'ІІ. Розр. з бюджетом'!$A$1:$I$42</formula>
    <oldFormula>'ІІ. Розр. з бюджетом'!$A$1:$I$42</oldFormula>
  </rdn>
  <rdn rId="0" localSheetId="3" customView="1" name="Z_4BF2F851_A775_4F33_8DA4_C59D9D94DA9D_.wvu.PrintTitles" hidden="1" oldHidden="1">
    <formula>'ІІ. Розр. з бюджетом'!$5:$5</formula>
    <oldFormula>'ІІ. Розр. з бюджетом'!$5:$5</oldFormula>
  </rdn>
  <rdn rId="0" localSheetId="4" customView="1" name="Z_4BF2F851_A775_4F33_8DA4_C59D9D94DA9D_.wvu.PrintArea" hidden="1" oldHidden="1">
    <formula>'ІІІ. Рух грош. коштів'!$A$1:$I$85</formula>
    <oldFormula>'ІІІ. Рух грош. коштів'!$A$1:$I$85</oldFormula>
  </rdn>
  <rdn rId="0" localSheetId="4" customView="1" name="Z_4BF2F851_A775_4F33_8DA4_C59D9D94DA9D_.wvu.PrintTitles" hidden="1" oldHidden="1">
    <formula>'ІІІ. Рух грош. коштів'!$5:$5</formula>
    <oldFormula>'ІІІ. Рух грош. коштів'!$5:$5</oldFormula>
  </rdn>
  <rdn rId="0" localSheetId="5" customView="1" name="Z_4BF2F851_A775_4F33_8DA4_C59D9D94DA9D_.wvu.PrintArea" hidden="1" oldHidden="1">
    <formula>'IV. Кап. інвестиції'!$A$1:$I$16</formula>
    <oldFormula>'IV. Кап. інвестиції'!$A$1:$I$16</oldFormula>
  </rdn>
  <rdn rId="0" localSheetId="6" customView="1" name="Z_4BF2F851_A775_4F33_8DA4_C59D9D94DA9D_.wvu.PrintArea" hidden="1" oldHidden="1">
    <formula>' V. Коефіцієнти'!$A$1:$H$26</formula>
    <oldFormula>' V. Коефіцієнти'!$A$1:$H$26</oldFormula>
  </rdn>
  <rdn rId="0" localSheetId="6" customView="1" name="Z_4BF2F851_A775_4F33_8DA4_C59D9D94DA9D_.wvu.PrintTitles" hidden="1" oldHidden="1">
    <formula>' V. Коефіцієнти'!$5:$5</formula>
    <oldFormula>' V. Коефіцієнти'!$5:$5</oldFormula>
  </rdn>
  <rdn rId="0" localSheetId="7" customView="1" name="Z_4BF2F851_A775_4F33_8DA4_C59D9D94DA9D_.wvu.PrintArea" hidden="1" oldHidden="1">
    <formula>'6.1. Інша інфо_1'!$A$1:$O$81</formula>
    <oldFormula>'6.1. Інша інфо_1'!$A$1:$O$81</oldFormula>
  </rdn>
  <rdn rId="0" localSheetId="9" customView="1" name="Z_4BF2F851_A775_4F33_8DA4_C59D9D94DA9D_.wvu.PrintArea" hidden="1" oldHidden="1">
    <formula>'6.2. Інша інфо_2'!$A$1:$AE$54</formula>
    <oldFormula>'6.2. Інша інфо_2'!$A$1:$AE$54</oldFormula>
  </rdn>
  <rcv guid="{4BF2F851-A775-4F33-8DA4-C59D9D94DA9D}" action="add"/>
</revisions>
</file>

<file path=xl/revisions/revisionLog118.xml><?xml version="1.0" encoding="utf-8"?>
<revisions xmlns="http://schemas.openxmlformats.org/spreadsheetml/2006/main" xmlns:r="http://schemas.openxmlformats.org/officeDocument/2006/relationships">
  <rcc rId="966" sId="1">
    <oc r="A3" t="inlineStr">
      <is>
        <t>Директор Департаменту гуманітарної політики</t>
      </is>
    </oc>
    <nc r="A3" t="inlineStr">
      <is>
        <t>Заступник міського голови з питань діяльності виконавчих органів, директор департаменту гуманітарної політики</t>
      </is>
    </nc>
  </rcc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181.xml><?xml version="1.0" encoding="utf-8"?>
<revisions xmlns="http://schemas.openxmlformats.org/spreadsheetml/2006/main" xmlns:r="http://schemas.openxmlformats.org/officeDocument/2006/relationships">
  <rcc rId="816" sId="7" numFmtId="34">
    <oc r="J19">
      <f>штатка!W54/1000</f>
    </oc>
    <nc r="J19">
      <v>296</v>
    </nc>
  </rcc>
  <rcc rId="817" sId="7" numFmtId="34">
    <oc r="J20">
      <f>штатка!W55/1000</f>
    </oc>
    <nc r="J20">
      <v>1811</v>
    </nc>
  </rcc>
  <rcc rId="818" sId="7" numFmtId="34">
    <oc r="J21">
      <f>штатка!W56/1000</f>
    </oc>
    <nc r="J21">
      <v>3289</v>
    </nc>
  </rcc>
  <rcc rId="819" sId="7" numFmtId="34">
    <oc r="J23">
      <f>штатка!W59/1000</f>
    </oc>
    <nc r="J23">
      <v>361</v>
    </nc>
  </rcc>
  <rcc rId="820" sId="7" numFmtId="34">
    <oc r="J24">
      <f>штатка!W60/1000</f>
    </oc>
    <nc r="J24">
      <v>2151</v>
    </nc>
  </rcc>
  <rcc rId="821" sId="7" numFmtId="34">
    <oc r="J25">
      <f>штатка!W61/1000</f>
    </oc>
    <nc r="J25">
      <v>3998</v>
    </nc>
  </rcc>
</revisions>
</file>

<file path=xl/revisions/revisionLog11811.xml><?xml version="1.0" encoding="utf-8"?>
<revisions xmlns="http://schemas.openxmlformats.org/spreadsheetml/2006/main" xmlns:r="http://schemas.openxmlformats.org/officeDocument/2006/relationships">
  <rcc rId="761" sId="1" odxf="1" dxf="1">
    <oc r="E75">
      <f>E83+E80-E74</f>
    </oc>
    <nc r="E75">
      <f>F75+'IV. Кап. інвестиції'!I7-'I. Фін результат'!I103</f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fmt sheetId="1" sqref="E75">
    <dxf>
      <fill>
        <patternFill>
          <bgColor rgb="FF92D050"/>
        </patternFill>
      </fill>
    </dxf>
  </rfmt>
</revisions>
</file>

<file path=xl/revisions/revisionLog1182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1821.xml><?xml version="1.0" encoding="utf-8"?>
<revisions xmlns="http://schemas.openxmlformats.org/spreadsheetml/2006/main" xmlns:r="http://schemas.openxmlformats.org/officeDocument/2006/relationships">
  <rcc rId="822" sId="8" numFmtId="4">
    <oc r="N32">
      <v>4821.79</v>
    </oc>
    <nc r="N32"/>
  </rcc>
  <rcc rId="823" sId="8" numFmtId="4">
    <oc r="P32">
      <v>751592</v>
    </oc>
    <nc r="P32"/>
  </rcc>
  <rcc rId="824" sId="8" numFmtId="4">
    <oc r="R32">
      <v>2102</v>
    </oc>
    <nc r="R32">
      <v>5340</v>
    </nc>
  </rcc>
</revisions>
</file>

<file path=xl/revisions/revisionLog119.xml><?xml version="1.0" encoding="utf-8"?>
<revisions xmlns="http://schemas.openxmlformats.org/spreadsheetml/2006/main" xmlns:r="http://schemas.openxmlformats.org/officeDocument/2006/relationships">
  <rcc rId="813" sId="8" odxf="1" dxf="1">
    <oc r="K31">
      <f>E31+F31+G31+H31+I31+J31</f>
    </oc>
    <nc r="K31">
      <f>E31+F31+G31+H31+I31+J31</f>
    </nc>
    <odxf>
      <fill>
        <patternFill>
          <bgColor rgb="FF92D050"/>
        </patternFill>
      </fill>
    </odxf>
    <ndxf>
      <fill>
        <patternFill>
          <bgColor theme="4" tint="0.59999389629810485"/>
        </patternFill>
      </fill>
    </ndxf>
  </rcc>
  <rcc rId="814" sId="8">
    <oc r="K32">
      <f>E32+F32+G32+H32+I32+J32</f>
    </oc>
    <nc r="K32">
      <f>E32+F32+G32+H32+I32+J32</f>
    </nc>
  </rcc>
  <rfmt sheetId="8" sqref="K31">
    <dxf>
      <fill>
        <patternFill>
          <bgColor rgb="FF92D050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пок.'!$A$1:$J$86</formula>
    <oldFormula>'Осн. фін. пок.'!$A$1:$J$86</oldFormula>
  </rdn>
  <rdn rId="0" localSheetId="1" customView="1" name="Z_43DCEB14_ADF8_4168_9283_6542A71D3CF7_.wvu.PrintTitles" hidden="1" oldHidden="1">
    <formula>'Осн. фін. пок.'!$35:$35</formula>
    <oldFormula>'Осн. фін. пок.'!$35:$35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20.xml><?xml version="1.0" encoding="utf-8"?>
<revisions xmlns="http://schemas.openxmlformats.org/spreadsheetml/2006/main" xmlns:r="http://schemas.openxmlformats.org/officeDocument/2006/relationships">
  <rcc rId="931" sId="2" numFmtId="4">
    <oc r="H15">
      <v>1123</v>
    </oc>
    <nc r="H15">
      <v>866</v>
    </nc>
  </rcc>
  <rcc rId="932" sId="2" numFmtId="4">
    <oc r="H71">
      <v>570</v>
    </oc>
    <nc r="H71">
      <v>310</v>
    </nc>
  </rcc>
  <rcc rId="933" sId="2" numFmtId="4">
    <oc r="I8">
      <v>2200</v>
    </oc>
    <nc r="I8">
      <v>2050</v>
    </nc>
  </rcc>
  <rcc rId="934" sId="2" numFmtId="4">
    <oc r="I71">
      <v>618</v>
    </oc>
    <nc r="I71">
      <v>316</v>
    </nc>
  </rcc>
  <rcc rId="935" sId="2" numFmtId="4">
    <oc r="I15">
      <v>1400</v>
    </oc>
    <nc r="I15">
      <v>955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29" sId="2" numFmtId="4">
    <oc r="I77">
      <f>ROUND(I76*18%,0)</f>
    </oc>
    <nc r="I77">
      <v>10</v>
    </nc>
  </rcc>
  <rcc rId="30" sId="2" numFmtId="4">
    <oc r="G15">
      <v>528</v>
    </oc>
    <nc r="G15">
      <v>150</v>
    </nc>
  </rcc>
  <rcc rId="31" sId="2" numFmtId="4">
    <oc r="H15">
      <v>1041</v>
    </oc>
    <nc r="H15">
      <v>150</v>
    </nc>
  </rcc>
  <rcc rId="32" sId="2" numFmtId="4">
    <oc r="G71">
      <v>158</v>
    </oc>
    <nc r="G71">
      <v>83</v>
    </nc>
  </rcc>
  <rcc rId="33" sId="2" numFmtId="4">
    <oc r="H71">
      <v>237</v>
    </oc>
    <nc r="H71">
      <v>499</v>
    </nc>
  </rcc>
  <rcc rId="34" sId="2" numFmtId="4">
    <oc r="I71">
      <v>316</v>
    </oc>
    <nc r="I71">
      <v>499</v>
    </nc>
  </rcc>
  <rcc rId="35" sId="2" numFmtId="4">
    <oc r="I15">
      <v>1239</v>
    </oc>
    <nc r="I15">
      <v>241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25" sId="2" numFmtId="4">
    <oc r="I22">
      <v>6759</v>
    </oc>
    <nc r="I22">
      <v>6328</v>
    </nc>
  </rcc>
  <rcc rId="26" sId="2" numFmtId="4">
    <oc r="I8">
      <v>2430</v>
    </oc>
    <nc r="I8">
      <v>1700</v>
    </nc>
  </rcc>
  <rcc rId="27" sId="2" numFmtId="4">
    <oc r="H8">
      <v>2427</v>
    </oc>
    <nc r="H8">
      <v>1300</v>
    </nc>
  </rcc>
  <rcc rId="28" sId="2" numFmtId="4">
    <oc r="G8">
      <v>1423</v>
    </oc>
    <nc r="G8">
      <v>1150</v>
    </nc>
  </rcc>
</revisions>
</file>

<file path=xl/revisions/revisionLog12111.xml><?xml version="1.0" encoding="utf-8"?>
<revisions xmlns="http://schemas.openxmlformats.org/spreadsheetml/2006/main" xmlns:r="http://schemas.openxmlformats.org/officeDocument/2006/relationships">
  <rcc rId="22" sId="7">
    <oc r="G56">
      <v>1830</v>
    </oc>
    <nc r="G56">
      <v>2430</v>
    </nc>
  </rcc>
  <rcc rId="23" sId="7">
    <oc r="H56">
      <v>150</v>
    </oc>
    <nc r="H56">
      <v>158</v>
    </nc>
  </rcc>
  <rcc rId="24" sId="7">
    <oc r="G57">
      <v>1830</v>
    </oc>
    <nc r="G57">
      <v>2430</v>
    </nc>
  </rcc>
</revisions>
</file>

<file path=xl/revisions/revisionLog121111.xml><?xml version="1.0" encoding="utf-8"?>
<revisions xmlns="http://schemas.openxmlformats.org/spreadsheetml/2006/main" xmlns:r="http://schemas.openxmlformats.org/officeDocument/2006/relationships">
  <rcc rId="17" sId="4" numFmtId="4">
    <nc r="D59">
      <v>20</v>
    </nc>
  </rcc>
  <rcc rId="18" sId="4">
    <nc r="D58">
      <f>D59</f>
    </nc>
  </rcc>
  <rcc rId="19" sId="4" numFmtId="4">
    <oc r="D76">
      <v>1618</v>
    </oc>
    <nc r="D76">
      <v>332</v>
    </nc>
  </rcc>
  <rcc rId="20" sId="5">
    <nc r="D8">
      <v>179</v>
    </nc>
  </rcc>
  <rcc rId="21" sId="5">
    <oc r="D6">
      <f>SUM(D7:D11)</f>
    </oc>
    <nc r="D6">
      <f>D8</f>
    </nc>
  </rcc>
</revisions>
</file>

<file path=xl/revisions/revisionLog122.xml><?xml version="1.0" encoding="utf-8"?>
<revisions xmlns="http://schemas.openxmlformats.org/spreadsheetml/2006/main" xmlns:r="http://schemas.openxmlformats.org/officeDocument/2006/relationships">
  <rcc rId="997" sId="1">
    <oc r="A4" t="inlineStr">
      <is>
        <t>РОГ В.А.</t>
      </is>
    </oc>
    <nc r="A4" t="inlineStr">
      <is>
        <t>Рог В.А.</t>
      </is>
    </nc>
  </rcc>
  <rfmt sheetId="1" sqref="E11:J11">
    <dxf>
      <alignment wrapText="1" readingOrder="0"/>
    </dxf>
  </rfmt>
  <rrc rId="998" sId="1" ref="K1:K1048576" action="deleteCol">
    <undo index="0" exp="area" ref3D="1" dr="$A$35:$XFD$35" dn="Z_43DCEB14_ADF8_4168_9283_6542A71D3CF7_.wvu.PrintTitles" sId="1"/>
    <undo index="0" exp="area" ref3D="1" dr="$A$35:$XFD$35" dn="Заголовки_для_печати" sId="1"/>
    <undo index="0" exp="area" ref3D="1" dr="$A$35:$XFD$35" dn="Z_4BF2F851_A775_4F33_8DA4_C59D9D94DA9D_.wvu.PrintTitles" sId="1"/>
    <undo index="0" exp="area" ref3D="1" dr="$A$35:$XFD$35" dn="Z_1E3D5FB9_014E_4051_8AD5_DB0A17D05797_.wvu.PrintTitles" sId="1"/>
    <rfmt sheetId="1" xfDxf="1" sqref="K1:K1048576" start="0" length="0">
      <dxf>
        <font>
          <sz val="14"/>
          <name val="Times New Roman"/>
          <scheme val="none"/>
        </font>
        <alignment vertical="center" readingOrder="0"/>
      </dxf>
    </rfmt>
    <rfmt sheetId="1" sqref="K2" start="0" length="0">
      <dxf>
        <alignment horizontal="left" wrapText="1" mergeCell="1" readingOrder="0"/>
        <protection locked="0"/>
      </dxf>
    </rfmt>
    <rfmt sheetId="1" sqref="K3" start="0" length="0">
      <dxf>
        <alignment horizontal="left" wrapText="1" mergeCell="1" readingOrder="0"/>
        <protection locked="0"/>
      </dxf>
    </rfmt>
    <rfmt sheetId="1" sqref="K4" start="0" length="0">
      <dxf>
        <alignment horizontal="left" wrapText="1" mergeCell="1" readingOrder="0"/>
        <protection locked="0"/>
      </dxf>
    </rfmt>
    <rfmt sheetId="1" sqref="K5" start="0" length="0">
      <dxf>
        <font>
          <sz val="16"/>
          <name val="Times New Roman"/>
          <scheme val="none"/>
        </font>
        <alignment horizontal="left" wrapText="1" mergeCell="1" readingOrder="0"/>
        <protection locked="0"/>
      </dxf>
    </rfmt>
    <rfmt sheetId="1" sqref="K6" start="0" length="0">
      <dxf>
        <font>
          <b/>
          <sz val="16"/>
          <name val="Times New Roman"/>
          <scheme val="none"/>
        </font>
        <alignment horizontal="left" wrapText="1" mergeCell="1" readingOrder="0"/>
        <protection locked="0"/>
      </dxf>
    </rfmt>
    <rfmt sheetId="1" sqref="K7" start="0" length="0">
      <dxf>
        <font>
          <sz val="12"/>
          <name val="Times New Roman"/>
          <scheme val="none"/>
        </font>
        <alignment horizontal="left" wrapText="1" mergeCell="1" readingOrder="0"/>
        <protection locked="0"/>
      </dxf>
    </rfmt>
    <rfmt sheetId="1" sqref="K8" start="0" length="0">
      <dxf>
        <alignment horizontal="left" wrapText="1" mergeCell="1" readingOrder="0"/>
        <protection locked="0"/>
      </dxf>
    </rfmt>
    <rfmt sheetId="1" sqref="K10" start="0" length="0">
      <dxf>
        <font>
          <sz val="16"/>
          <name val="Times New Roman"/>
          <scheme val="none"/>
        </font>
        <alignment horizontal="left" wrapText="1" mergeCell="1" readingOrder="0"/>
        <protection locked="0"/>
      </dxf>
    </rfmt>
  </rrc>
  <rfmt sheetId="1" sqref="A2:B2" start="0" length="2147483647">
    <dxf>
      <font>
        <b/>
      </font>
    </dxf>
  </rfmt>
  <rcc rId="999" sId="1">
    <oc r="E10" t="inlineStr">
      <is>
        <r>
          <t xml:space="preserve">ПОГОДЖЕНО _____________________   
</t>
        </r>
        <r>
          <rPr>
            <sz val="12"/>
            <rFont val="Times New Roman"/>
            <family val="1"/>
            <charset val="204"/>
          </rPr>
          <t>(прізвище та ініціали та підпис заступника міського голови за напрямом діяльності  підприємства)</t>
        </r>
      </is>
    </oc>
    <nc r="E10" t="inlineStr">
      <is>
        <r>
          <rPr>
            <b/>
            <sz val="16"/>
            <rFont val="Times New Roman"/>
            <family val="1"/>
            <charset val="204"/>
          </rPr>
          <t xml:space="preserve">ПОГОДЖЕНО   </t>
        </r>
        <r>
          <rPr>
            <sz val="16"/>
            <rFont val="Times New Roman"/>
            <family val="1"/>
            <charset val="204"/>
          </rPr>
          <t xml:space="preserve">                                                                                                                                                        </t>
        </r>
        <r>
          <rPr>
            <u/>
            <sz val="16"/>
            <rFont val="Times New Roman"/>
            <family val="1"/>
            <charset val="204"/>
          </rPr>
          <t xml:space="preserve">Заступник міського голови з питань діяльності виконавчих                     органів, директор департаменту гуманітарної політики              Дніпровської міської ради                                   Сушко К.А.          </t>
        </r>
        <r>
          <rPr>
            <sz val="16"/>
            <rFont val="Times New Roman"/>
            <family val="1"/>
            <charset val="204"/>
          </rPr>
          <t xml:space="preserve">                                     </t>
        </r>
        <r>
          <rPr>
            <sz val="12"/>
            <rFont val="Times New Roman"/>
            <family val="1"/>
            <charset val="204"/>
          </rPr>
          <t>(прізвище та ініціали та підпис заступника міського голови за напрямом діяльності  підприємства)</t>
        </r>
      </is>
    </nc>
  </rcc>
  <rcc rId="1000" sId="1">
    <nc r="E11" t="inlineStr">
      <is>
        <t>М.П.</t>
      </is>
    </nc>
  </rcc>
  <rcv guid="{43DCEB14-ADF8-4168-9283-6542A71D3CF7}" action="delete"/>
  <rdn rId="0" localSheetId="1" customView="1" name="Z_43DCEB14_ADF8_4168_9283_6542A71D3CF7_.wvu.PrintArea" hidden="1" oldHidden="1">
    <formula>'Осн. фін. пок.'!$A$1:$J$86</formula>
    <oldFormula>'Осн. фін. пок.'!$A$1:$J$86</oldFormula>
  </rdn>
  <rdn rId="0" localSheetId="1" customView="1" name="Z_43DCEB14_ADF8_4168_9283_6542A71D3CF7_.wvu.PrintTitles" hidden="1" oldHidden="1">
    <formula>'Осн. фін. пок.'!$35:$35</formula>
    <oldFormula>'Осн. фін. пок.'!$35:$35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221.xml><?xml version="1.0" encoding="utf-8"?>
<revisions xmlns="http://schemas.openxmlformats.org/spreadsheetml/2006/main" xmlns:r="http://schemas.openxmlformats.org/officeDocument/2006/relationships">
  <rcc rId="980" sId="1">
    <oc r="A3" t="inlineStr">
      <is>
        <t>Заступник міського голови з питань діяльності виконавчих органів, директор департаменту гуманітарної політики</t>
      </is>
    </oc>
    <nc r="A3" t="inlineStr">
      <is>
        <t>Заступник директора департаменту гуманітарної політики Дніпровської міської ради</t>
      </is>
    </nc>
  </rcc>
  <rcc rId="981" sId="1">
    <oc r="A4" t="inlineStr">
      <is>
        <t>Дніпровської міської ради</t>
      </is>
    </oc>
    <nc r="A4" t="inlineStr">
      <is>
        <t>РОГ В.А.</t>
      </is>
    </nc>
  </rcc>
  <rfmt sheetId="1" sqref="A4:B4">
    <dxf>
      <alignment horizontal="right" readingOrder="0"/>
    </dxf>
  </rfmt>
  <rcc rId="982" sId="1">
    <oc r="A5" t="inlineStr">
      <is>
        <t>_______________________    Сушко К.А.</t>
      </is>
    </oc>
    <nc r="A5"/>
  </rcc>
  <rrc rId="983" sId="1" ref="A5:XFD5" action="deleteRow">
    <undo index="0" exp="area" ref3D="1" dr="$A$36:$XFD$36" dn="Z_43DCEB14_ADF8_4168_9283_6542A71D3CF7_.wvu.PrintTitles" sId="1"/>
    <undo index="0" exp="area" ref3D="1" dr="$A$36:$XFD$36" dn="Заголовки_для_печати" sId="1"/>
    <undo index="0" exp="area" ref3D="1" dr="$A$36:$XFD$36" dn="Z_4BF2F851_A775_4F33_8DA4_C59D9D94DA9D_.wvu.PrintTitles" sId="1"/>
    <undo index="0" exp="area" ref3D="1" dr="$A$36:$XFD$36" dn="Z_1E3D5FB9_014E_4051_8AD5_DB0A17D05797_.wvu.PrintTitles" sId="1"/>
    <rfmt sheetId="1" xfDxf="1" sqref="A5:XFD5" start="0" length="0">
      <dxf>
        <font>
          <sz val="14"/>
          <name val="Times New Roman"/>
          <scheme val="none"/>
        </font>
        <alignment vertical="center" readingOrder="0"/>
      </dxf>
    </rfmt>
    <rfmt sheetId="1" sqref="A5" start="0" length="0">
      <dxf>
        <font>
          <sz val="16"/>
          <color indexed="8"/>
          <name val="Times New Roman"/>
          <scheme val="none"/>
        </font>
        <alignment horizontal="left" vertical="top" wrapText="1" readingOrder="0"/>
        <protection locked="0"/>
      </dxf>
    </rfmt>
    <rfmt sheetId="1" sqref="B5" start="0" length="0">
      <dxf>
        <font>
          <sz val="16"/>
          <color indexed="8"/>
          <name val="Times New Roman"/>
          <scheme val="none"/>
        </font>
        <alignment horizontal="left" vertical="top" wrapText="1" readingOrder="0"/>
        <protection locked="0"/>
      </dxf>
    </rfmt>
    <rfmt sheetId="1" sqref="C5" start="0" length="0">
      <dxf>
        <font>
          <sz val="16"/>
          <color indexed="8"/>
          <name val="Times New Roman"/>
          <scheme val="none"/>
        </font>
        <alignment vertical="top" wrapText="1" readingOrder="0"/>
        <protection locked="0"/>
      </dxf>
    </rfmt>
    <rfmt sheetId="1" sqref="D5" start="0" length="0">
      <dxf>
        <font>
          <sz val="16"/>
          <name val="Times New Roman"/>
          <scheme val="none"/>
        </font>
        <alignment horizontal="right" readingOrder="0"/>
        <protection locked="0"/>
      </dxf>
    </rfmt>
    <rfmt sheetId="1" sqref="E5" start="0" length="0">
      <dxf>
        <font>
          <sz val="16"/>
          <name val="Times New Roman"/>
          <scheme val="none"/>
        </font>
        <alignment horizontal="right" readingOrder="0"/>
        <protection locked="0"/>
      </dxf>
    </rfmt>
    <rfmt sheetId="1" sqref="F5" start="0" length="0">
      <dxf>
        <font>
          <sz val="16"/>
          <name val="Times New Roman"/>
          <scheme val="none"/>
        </font>
        <alignment horizontal="right" readingOrder="0"/>
        <protection locked="0"/>
      </dxf>
    </rfmt>
    <rfmt sheetId="1" sqref="G5" start="0" length="0">
      <dxf>
        <font>
          <sz val="16"/>
          <name val="Times New Roman"/>
          <scheme val="none"/>
        </font>
        <alignment horizontal="left" readingOrder="0"/>
        <protection locked="0"/>
      </dxf>
    </rfmt>
    <rfmt sheetId="1" sqref="H5" start="0" length="0">
      <dxf>
        <font>
          <sz val="16"/>
          <name val="Times New Roman"/>
          <scheme val="none"/>
        </font>
        <alignment horizontal="left" readingOrder="0"/>
        <protection locked="0"/>
      </dxf>
    </rfmt>
    <rfmt sheetId="1" sqref="I5" start="0" length="0">
      <dxf>
        <font>
          <sz val="16"/>
          <name val="Times New Roman"/>
          <scheme val="none"/>
        </font>
        <alignment horizontal="left" readingOrder="0"/>
        <protection locked="0"/>
      </dxf>
    </rfmt>
    <rfmt sheetId="1" sqref="J5" start="0" length="0">
      <dxf>
        <font>
          <sz val="16"/>
          <name val="Times New Roman"/>
          <scheme val="none"/>
        </font>
        <alignment horizontal="left" readingOrder="0"/>
        <protection locked="0"/>
      </dxf>
    </rfmt>
  </rrc>
  <rcv guid="{43DCEB14-ADF8-4168-9283-6542A71D3CF7}" action="delete"/>
  <rdn rId="0" localSheetId="1" customView="1" name="Z_43DCEB14_ADF8_4168_9283_6542A71D3CF7_.wvu.PrintArea" hidden="1" oldHidden="1">
    <formula>'Осн. фін. пок.'!$A$1:$J$86</formula>
    <oldFormula>'Осн. фін. пок.'!$A$1:$J$86</oldFormula>
  </rdn>
  <rdn rId="0" localSheetId="1" customView="1" name="Z_43DCEB14_ADF8_4168_9283_6542A71D3CF7_.wvu.PrintTitles" hidden="1" oldHidden="1">
    <formula>'Осн. фін. пок.'!$35:$35</formula>
    <oldFormula>'Осн. фін. пок.'!$35:$35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2211.xml><?xml version="1.0" encoding="utf-8"?>
<revisions xmlns="http://schemas.openxmlformats.org/spreadsheetml/2006/main" xmlns:r="http://schemas.openxmlformats.org/officeDocument/2006/relationships">
  <rcc rId="98" sId="8" numFmtId="4">
    <oc r="D29">
      <v>3390</v>
    </oc>
    <nc r="D29">
      <v>3391</v>
    </nc>
  </rcc>
  <rfmt sheetId="8" sqref="F34" start="0" length="0">
    <dxf>
      <numFmt numFmtId="1" formatCode="0"/>
    </dxf>
  </rfmt>
  <rcc rId="99" sId="8">
    <oc r="F33">
      <v>350</v>
    </oc>
    <nc r="F33">
      <f>SUM(F10:F32)</f>
    </nc>
  </rcc>
  <rcc rId="100" sId="8" numFmtId="4">
    <oc r="I29">
      <v>3561</v>
    </oc>
    <nc r="I29"/>
  </rcc>
  <rcc rId="101" sId="8">
    <oc r="K32">
      <f>E32+F32+G32+H32+I32+J32</f>
    </oc>
    <nc r="K32">
      <f>E32+F32+G32+H32+I32+J32</f>
    </nc>
  </rcc>
  <rcc rId="102" sId="8">
    <oc r="K31">
      <f>E31+F31+G31+H31+I31+J31</f>
    </oc>
    <nc r="K31">
      <f>E31+G31+H31+I31+J31+(590*12)</f>
    </nc>
  </rcc>
</revisions>
</file>

<file path=xl/revisions/revisionLog13.xml><?xml version="1.0" encoding="utf-8"?>
<revisions xmlns="http://schemas.openxmlformats.org/spreadsheetml/2006/main" xmlns:r="http://schemas.openxmlformats.org/officeDocument/2006/relationships">
  <rfmt sheetId="1" sqref="A4" start="0" length="0">
    <dxf>
      <font>
        <b/>
        <sz val="14"/>
        <color indexed="8"/>
        <name val="Times New Roman"/>
        <scheme val="none"/>
      </font>
    </dxf>
  </rfmt>
  <rcc rId="1014" sId="1">
    <oc r="E10" t="inlineStr">
      <is>
        <r>
          <rPr>
            <b/>
            <sz val="16"/>
            <rFont val="Times New Roman"/>
            <family val="1"/>
            <charset val="204"/>
          </rPr>
          <t xml:space="preserve">ПОГОДЖЕНО   </t>
        </r>
        <r>
          <rPr>
            <sz val="16"/>
            <rFont val="Times New Roman"/>
            <family val="1"/>
            <charset val="204"/>
          </rPr>
          <t xml:space="preserve">                                                                                                                                                        </t>
        </r>
        <r>
          <rPr>
            <u/>
            <sz val="16"/>
            <rFont val="Times New Roman"/>
            <family val="1"/>
            <charset val="204"/>
          </rPr>
          <t xml:space="preserve">Заступник міського голови з питань діяльності виконавчих                     органів, директор департаменту гуманітарної політики              Дніпровської міської ради                                   Сушко К.А.          </t>
        </r>
        <r>
          <rPr>
            <sz val="16"/>
            <rFont val="Times New Roman"/>
            <family val="1"/>
            <charset val="204"/>
          </rPr>
          <t xml:space="preserve">                                     </t>
        </r>
        <r>
          <rPr>
            <sz val="12"/>
            <rFont val="Times New Roman"/>
            <family val="1"/>
            <charset val="204"/>
          </rPr>
          <t>(прізвище та ініціали та підпис заступника міського голови за напрямом діяльності  підприємства)</t>
        </r>
      </is>
    </oc>
    <nc r="E10" t="inlineStr">
      <is>
        <r>
          <rPr>
            <b/>
            <sz val="16"/>
            <rFont val="Times New Roman"/>
            <family val="1"/>
            <charset val="204"/>
          </rPr>
          <t xml:space="preserve">ПОГОДЖЕНО   </t>
        </r>
        <r>
          <rPr>
            <sz val="16"/>
            <rFont val="Times New Roman"/>
            <family val="1"/>
            <charset val="204"/>
          </rPr>
          <t xml:space="preserve">                                                                                                                                                        </t>
        </r>
        <r>
          <rPr>
            <u/>
            <sz val="16"/>
            <rFont val="Times New Roman"/>
            <family val="1"/>
            <charset val="204"/>
          </rPr>
          <t xml:space="preserve">Заступник міського голови з питань діяльності виконавчих                     органів, директор департаменту гуманітарної політики              Дніпровської міської ради                                   </t>
        </r>
        <r>
          <rPr>
            <b/>
            <u/>
            <sz val="16"/>
            <rFont val="Times New Roman"/>
            <family val="1"/>
            <charset val="204"/>
          </rPr>
          <t xml:space="preserve">Сушко К.А. </t>
        </r>
        <r>
          <rPr>
            <u/>
            <sz val="16"/>
            <rFont val="Times New Roman"/>
            <family val="1"/>
            <charset val="204"/>
          </rPr>
          <t xml:space="preserve">         </t>
        </r>
        <r>
          <rPr>
            <sz val="16"/>
            <rFont val="Times New Roman"/>
            <family val="1"/>
            <charset val="204"/>
          </rPr>
          <t xml:space="preserve">                                     </t>
        </r>
        <r>
          <rPr>
            <sz val="12"/>
            <rFont val="Times New Roman"/>
            <family val="1"/>
            <charset val="204"/>
          </rPr>
          <t>(прізвище та ініціали та підпис заступника міського голови за напрямом діяльності  підприємства)</t>
        </r>
      </is>
    </nc>
  </rcc>
  <rcv guid="{43DCEB14-ADF8-4168-9283-6542A71D3CF7}" action="delete"/>
  <rdn rId="0" localSheetId="1" customView="1" name="Z_43DCEB14_ADF8_4168_9283_6542A71D3CF7_.wvu.PrintArea" hidden="1" oldHidden="1">
    <formula>'Осн. фін. пок.'!$A$1:$J$86</formula>
    <oldFormula>'Осн. фін. пок.'!$A$1:$J$86</oldFormula>
  </rdn>
  <rdn rId="0" localSheetId="1" customView="1" name="Z_43DCEB14_ADF8_4168_9283_6542A71D3CF7_.wvu.PrintTitles" hidden="1" oldHidden="1">
    <formula>'Осн. фін. пок.'!$35:$35</formula>
    <oldFormula>'Осн. фін. пок.'!$35:$35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66" sId="8" numFmtId="4">
    <nc r="H29">
      <v>3560.55</v>
    </nc>
  </rcc>
  <rcc rId="67" sId="8" numFmtId="4">
    <oc r="I29">
      <v>801</v>
    </oc>
    <nc r="I29">
      <v>3561</v>
    </nc>
  </rcc>
  <rrc rId="68" sId="8" ref="J1:J1048576" action="insertCol"/>
  <rfmt sheetId="8" sqref="J10" start="0" length="0">
    <dxf>
      <font>
        <b/>
        <sz val="11"/>
        <name val="Times New Roman"/>
        <scheme val="none"/>
      </font>
      <numFmt numFmtId="0" formatCode="General"/>
      <fill>
        <patternFill>
          <bgColor theme="0"/>
        </patternFill>
      </fill>
    </dxf>
  </rfmt>
  <rfmt sheetId="8" sqref="J11" start="0" length="0">
    <dxf>
      <font>
        <b/>
        <sz val="11"/>
        <name val="Times New Roman"/>
        <scheme val="none"/>
      </font>
      <numFmt numFmtId="0" formatCode="General"/>
      <fill>
        <patternFill>
          <bgColor theme="0"/>
        </patternFill>
      </fill>
    </dxf>
  </rfmt>
  <rfmt sheetId="8" sqref="J12" start="0" length="0">
    <dxf>
      <font>
        <b/>
        <sz val="11"/>
        <name val="Times New Roman"/>
        <scheme val="none"/>
      </font>
      <numFmt numFmtId="0" formatCode="General"/>
      <fill>
        <patternFill>
          <bgColor theme="0"/>
        </patternFill>
      </fill>
    </dxf>
  </rfmt>
  <rfmt sheetId="8" sqref="J10" start="0" length="0">
    <dxf>
      <font>
        <b val="0"/>
        <sz val="11"/>
        <name val="Times New Roman"/>
        <scheme val="none"/>
      </font>
      <numFmt numFmtId="1" formatCode="0"/>
      <fill>
        <patternFill>
          <bgColor theme="4" tint="0.59999389629810485"/>
        </patternFill>
      </fill>
    </dxf>
  </rfmt>
  <rfmt sheetId="8" sqref="J11" start="0" length="0">
    <dxf>
      <font>
        <b val="0"/>
        <sz val="11"/>
        <name val="Times New Roman"/>
        <scheme val="none"/>
      </font>
      <numFmt numFmtId="1" formatCode="0"/>
      <fill>
        <patternFill>
          <bgColor theme="4" tint="0.59999389629810485"/>
        </patternFill>
      </fill>
    </dxf>
  </rfmt>
  <rfmt sheetId="8" sqref="J12" start="0" length="0">
    <dxf>
      <font>
        <b val="0"/>
        <sz val="11"/>
        <name val="Times New Roman"/>
        <scheme val="none"/>
      </font>
      <numFmt numFmtId="1" formatCode="0"/>
      <fill>
        <patternFill>
          <bgColor theme="4" tint="0.59999389629810485"/>
        </patternFill>
      </fill>
    </dxf>
  </rfmt>
  <rcc rId="69" sId="8">
    <nc r="J9" t="inlineStr">
      <is>
        <t xml:space="preserve">Доплата до МЗП </t>
      </is>
    </nc>
  </rcc>
  <rcc rId="70" sId="8" numFmtId="4">
    <nc r="J27">
      <v>1107</v>
    </nc>
  </rcc>
  <rcc rId="71" sId="8" numFmtId="4">
    <nc r="J30">
      <v>3090</v>
    </nc>
  </rcc>
  <rcc rId="72" sId="8" numFmtId="4">
    <nc r="J31">
      <v>37080</v>
    </nc>
  </rcc>
  <rcc rId="73" sId="8" numFmtId="4">
    <nc r="J32">
      <v>6660</v>
    </nc>
  </rcc>
  <rcc rId="74" sId="8">
    <nc r="J33">
      <f>SUM(J10:J32)</f>
    </nc>
  </rcc>
  <rcc rId="75" sId="8">
    <oc r="K10">
      <f>E10+F10+G10+H10+I10</f>
    </oc>
    <nc r="K10">
      <f>E10+F10+G10+H10+I10+J10</f>
    </nc>
  </rcc>
  <rcc rId="76" sId="8">
    <oc r="K11">
      <f>E11+F11+G11+H11+I11</f>
    </oc>
    <nc r="K11">
      <f>E11+F11+G11+H11+I11+J11</f>
    </nc>
  </rcc>
  <rcc rId="77" sId="8">
    <oc r="K12">
      <f>E12+F12+G12+H12+I12</f>
    </oc>
    <nc r="K12">
      <f>E12+F12+G12+H12+I12+J12</f>
    </nc>
  </rcc>
  <rcc rId="78" sId="8">
    <oc r="K13">
      <f>E13+F13+G13+H13+I13</f>
    </oc>
    <nc r="K13">
      <f>E13+F13+G13+H13+I13+J13</f>
    </nc>
  </rcc>
  <rcc rId="79" sId="8">
    <oc r="K14">
      <f>E14+F14+G14+H14+I14</f>
    </oc>
    <nc r="K14">
      <f>E14+F14+G14+H14+I14+J14</f>
    </nc>
  </rcc>
  <rcc rId="80" sId="8">
    <oc r="K15">
      <f>E15+F15+G15+H15+I15</f>
    </oc>
    <nc r="K15">
      <f>E15+F15+G15+H15+I15+J15</f>
    </nc>
  </rcc>
  <rcc rId="81" sId="8">
    <oc r="K16">
      <f>E16+F16+G16+H16+I16</f>
    </oc>
    <nc r="K16">
      <f>E16+F16+G16+H16+I16+J16</f>
    </nc>
  </rcc>
  <rcc rId="82" sId="8">
    <oc r="K17">
      <f>E17+F17+G17+H17+I17</f>
    </oc>
    <nc r="K17">
      <f>E17+F17+G17+H17+I17+J17</f>
    </nc>
  </rcc>
  <rcc rId="83" sId="8">
    <oc r="K18">
      <f>E18+F18+G18+H18+I18</f>
    </oc>
    <nc r="K18">
      <f>E18+F18+G18+H18+I18+J18</f>
    </nc>
  </rcc>
  <rcc rId="84" sId="8">
    <oc r="K19">
      <f>E19+F19+(G19)+H19+I19</f>
    </oc>
    <nc r="K19">
      <f>E19+F19+G19+H19+I19+J19</f>
    </nc>
  </rcc>
  <rcc rId="85" sId="8" odxf="1" dxf="1">
    <oc r="K20">
      <f>E20+F20+G20+H20+I20</f>
    </oc>
    <nc r="K20">
      <f>E20+F20+G20+H20+I20+J20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  <rcc rId="86" sId="8" odxf="1" dxf="1">
    <oc r="K21">
      <f>E21+F21+(G21*1)+H21+I21</f>
    </oc>
    <nc r="K21">
      <f>E21+F21+G21+H21+I21+J21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  <rcc rId="87" sId="8" odxf="1" dxf="1">
    <oc r="K22">
      <f>E22+F22+(G22)+H22+I22</f>
    </oc>
    <nc r="K22">
      <f>E22+F22+G22+H22+I22+J22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  <rcc rId="88" sId="8" odxf="1" dxf="1">
    <oc r="K23">
      <f>E23+F23+(G23*1)+H23+I23</f>
    </oc>
    <nc r="K23">
      <f>E23+F23+G23+H23+I23+J23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  <rcc rId="89" sId="8">
    <oc r="K24">
      <f>E24+F24+G24+H24+I24</f>
    </oc>
    <nc r="K24">
      <f>E24+F24+G24+H24+I24+J24</f>
    </nc>
  </rcc>
  <rcc rId="90" sId="8" odxf="1" dxf="1">
    <oc r="K25">
      <f>E25+F25+G25+H25+I25</f>
    </oc>
    <nc r="K25">
      <f>E25+F25+G25+H25+I25+J25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  <rcc rId="91" sId="8" odxf="1" dxf="1">
    <oc r="K26">
      <f>E26+F26+G26+H26+I26</f>
    </oc>
    <nc r="K26">
      <f>E26+F26+G26+H26+I26+J26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  <rcc rId="92" sId="8" odxf="1" dxf="1">
    <oc r="K27">
      <f>E27+F27+(G27)+H27+I27</f>
    </oc>
    <nc r="K27">
      <f>E27+F27+G27+H27+I27+J27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  <rcc rId="93" sId="8" odxf="1" dxf="1">
    <oc r="K28">
      <f>E28+F28+(G28*1)+H28+I28</f>
    </oc>
    <nc r="K28">
      <f>E28+F28+G28+H28+I28+J28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  <rcc rId="94" sId="8" odxf="1" dxf="1">
    <oc r="K29">
      <f>E29+F29+(G29+H29+I29)</f>
    </oc>
    <nc r="K29">
      <f>E29+F29+G29+H29+I29+J29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  <rcc rId="95" sId="8" odxf="1" dxf="1">
    <oc r="K30">
      <f>E30+F30+G30+H30+I30</f>
    </oc>
    <nc r="K30">
      <f>E30+F30+G30+H30+I30+J30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  <rcc rId="96" sId="8" odxf="1" dxf="1">
    <oc r="K31">
      <f>E31+(F31*12)+G31+H31+I31</f>
    </oc>
    <nc r="K31">
      <f>E31+F31+G31+H31+I31+J31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  <rcc rId="97" sId="8" odxf="1" dxf="1">
    <oc r="K32">
      <f>E32+(F32*1)+G32+H32+(I32*2)</f>
    </oc>
    <nc r="K32">
      <f>E32+F32+G32+H32+I32+J32</f>
    </nc>
    <odxf>
      <fill>
        <patternFill>
          <bgColor theme="0"/>
        </patternFill>
      </fill>
    </odxf>
    <ndxf>
      <fill>
        <patternFill>
          <bgColor theme="4" tint="0.59999389629810485"/>
        </patternFill>
      </fill>
    </ndxf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65" sId="8" numFmtId="4">
    <oc r="F31">
      <v>395</v>
    </oc>
    <nc r="F31">
      <v>590</v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43" sId="8" numFmtId="4">
    <oc r="D17">
      <v>3826</v>
    </oc>
    <nc r="D17">
      <v>4859</v>
    </nc>
  </rcc>
  <rcc rId="44" sId="8" numFmtId="4">
    <oc r="D18">
      <v>3826</v>
    </oc>
    <nc r="D18">
      <v>4859</v>
    </nc>
  </rcc>
  <rcc rId="45" sId="8" numFmtId="4">
    <oc r="E17">
      <v>3826</v>
    </oc>
    <nc r="E17">
      <v>4859</v>
    </nc>
  </rcc>
  <rcc rId="46" sId="8" numFmtId="4">
    <oc r="E18">
      <f>C18*D18</f>
    </oc>
    <nc r="E18">
      <v>4859</v>
    </nc>
  </rcc>
  <rcc rId="47" sId="8" numFmtId="4">
    <oc r="D19">
      <v>3636</v>
    </oc>
    <nc r="D19">
      <v>4619</v>
    </nc>
  </rcc>
  <rcc rId="48" sId="8" numFmtId="4">
    <oc r="D20">
      <v>3826</v>
    </oc>
    <nc r="D20">
      <v>4859</v>
    </nc>
  </rcc>
  <rcc rId="49" sId="8" numFmtId="4">
    <oc r="D21">
      <v>3636</v>
    </oc>
    <nc r="D21">
      <v>4619</v>
    </nc>
  </rcc>
  <rcc rId="50" sId="8" numFmtId="4">
    <oc r="D22">
      <v>3447</v>
    </oc>
    <nc r="D22">
      <v>4379</v>
    </nc>
  </rcc>
  <rcc rId="51" sId="8">
    <oc r="B24" t="inlineStr">
      <is>
        <t>Секретар-друкарка</t>
      </is>
    </oc>
    <nc r="B24" t="inlineStr">
      <is>
        <t>Старший інспектор</t>
      </is>
    </nc>
  </rcc>
  <rcc rId="52" sId="8" numFmtId="4">
    <oc r="D23">
      <v>3237</v>
    </oc>
    <nc r="D23">
      <v>4112</v>
    </nc>
  </rcc>
  <rcc rId="53" sId="8" numFmtId="4">
    <oc r="D24">
      <v>3237</v>
    </oc>
    <nc r="D24">
      <v>4112</v>
    </nc>
  </rcc>
  <rcc rId="54" sId="8" numFmtId="4">
    <oc r="D25">
      <v>3237</v>
    </oc>
    <nc r="D25">
      <v>4112</v>
    </nc>
  </rcc>
  <rcc rId="55" sId="8" numFmtId="4">
    <oc r="D26">
      <v>3237</v>
    </oc>
    <nc r="D26">
      <v>4112</v>
    </nc>
  </rcc>
  <rcc rId="56" sId="8" numFmtId="4">
    <oc r="D27">
      <v>2859</v>
    </oc>
    <nc r="D27">
      <v>3631</v>
    </nc>
  </rcc>
  <rcc rId="57" sId="8" numFmtId="4">
    <oc r="D28">
      <v>3826</v>
    </oc>
    <nc r="D28">
      <v>4859</v>
    </nc>
  </rcc>
  <rcc rId="58" sId="8" numFmtId="4">
    <oc r="D29">
      <v>2670</v>
    </oc>
    <nc r="D29">
      <v>3390</v>
    </nc>
  </rcc>
  <rcc rId="59" sId="8" numFmtId="4">
    <oc r="D30">
      <v>2291</v>
    </oc>
    <nc r="D30">
      <v>2910</v>
    </nc>
  </rcc>
  <rcc rId="60" sId="8" numFmtId="4">
    <oc r="D31">
      <v>2291</v>
    </oc>
    <nc r="D31">
      <v>2910</v>
    </nc>
  </rcc>
  <rcc rId="61" sId="8" numFmtId="4">
    <oc r="D32">
      <v>2102</v>
    </oc>
    <nc r="D32">
      <v>2670</v>
    </nc>
  </rcc>
  <rcc rId="62" sId="8">
    <oc r="H10">
      <f>E10*20%</f>
    </oc>
    <nc r="H10"/>
  </rcc>
  <rcc rId="63" sId="8">
    <oc r="H11">
      <f>E11*10%</f>
    </oc>
    <nc r="H11"/>
  </rcc>
  <rcc rId="64" sId="8">
    <oc r="H20">
      <f>E20*20%</f>
    </oc>
    <nc r="H20"/>
  </rcc>
</revisions>
</file>

<file path=xl/revisions/revisionLog131111.xml><?xml version="1.0" encoding="utf-8"?>
<revisions xmlns="http://schemas.openxmlformats.org/spreadsheetml/2006/main" xmlns:r="http://schemas.openxmlformats.org/officeDocument/2006/relationships">
  <rcc rId="38" sId="8">
    <oc r="A5" t="inlineStr">
      <is>
        <t>з   01.01 2020 року.</t>
      </is>
    </oc>
    <nc r="A5" t="inlineStr">
      <is>
        <t>з   01.01 2021 року.</t>
      </is>
    </nc>
  </rcc>
  <rcc rId="39" sId="8" numFmtId="4">
    <oc r="D15">
      <v>3826</v>
    </oc>
    <nc r="D15">
      <v>4859</v>
    </nc>
  </rcc>
  <rcc rId="40" sId="8" numFmtId="4">
    <oc r="E15">
      <v>3826</v>
    </oc>
    <nc r="E15">
      <v>4859</v>
    </nc>
  </rcc>
  <rcc rId="41" sId="8" numFmtId="4">
    <oc r="D16">
      <v>3826</v>
    </oc>
    <nc r="D16">
      <v>4859</v>
    </nc>
  </rcc>
  <rcc rId="42" sId="8" numFmtId="4">
    <oc r="E16">
      <v>3826</v>
    </oc>
    <nc r="E16">
      <v>4859</v>
    </nc>
  </rcc>
</revisions>
</file>

<file path=xl/revisions/revisionLog132.xml><?xml version="1.0" encoding="utf-8"?>
<revisions xmlns="http://schemas.openxmlformats.org/spreadsheetml/2006/main" xmlns:r="http://schemas.openxmlformats.org/officeDocument/2006/relationships">
  <rcc rId="135" sId="4" numFmtId="4">
    <nc r="E13">
      <v>564</v>
    </nc>
  </rcc>
  <rcc rId="136" sId="4" numFmtId="4">
    <oc r="E14">
      <v>0</v>
    </oc>
    <nc r="E14">
      <v>23</v>
    </nc>
  </rcc>
  <rrc rId="137" sId="4" ref="A15:XFD15" action="insertRow"/>
  <rcc rId="138" sId="4">
    <nc r="A15" t="inlineStr">
      <is>
        <t>списання основних засобів</t>
      </is>
    </nc>
  </rcc>
  <rcc rId="139" sId="4" odxf="1" dxf="1">
    <oc r="B13" t="inlineStr">
      <is>
        <t>3030/2</t>
      </is>
    </oc>
    <nc r="B13" t="inlineStr">
      <is>
        <t>3030/1</t>
      </is>
    </nc>
    <odxf/>
    <ndxf/>
  </rcc>
  <rcc rId="140" sId="4" odxf="1" dxf="1">
    <oc r="B14" t="inlineStr">
      <is>
        <t>3030/3</t>
      </is>
    </oc>
    <nc r="B14" t="inlineStr">
      <is>
        <t>3030/2</t>
      </is>
    </nc>
    <odxf/>
    <ndxf/>
  </rcc>
  <rcc rId="141" sId="4">
    <nc r="B15" t="inlineStr">
      <is>
        <t>3030/3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199" sId="7">
    <oc r="J56">
      <v>2427</v>
    </oc>
    <nc r="J56">
      <v>2111</v>
    </nc>
  </rcc>
  <rcc rId="200" sId="7">
    <oc r="K56">
      <v>158</v>
    </oc>
    <nc r="K56">
      <v>121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c rId="151" sId="4" numFmtId="4">
    <nc r="E40">
      <v>20</v>
    </nc>
  </rcc>
  <rcc rId="152" sId="4" numFmtId="4">
    <oc r="E41">
      <v>215</v>
    </oc>
    <nc r="E41">
      <v>125</v>
    </nc>
  </rcc>
  <rcc rId="153" sId="4" numFmtId="4">
    <oc r="E39">
      <v>215</v>
    </oc>
    <nc r="E39">
      <f>E40+E41</f>
    </nc>
  </rcc>
  <rcc rId="154" sId="4" numFmtId="4">
    <oc r="E60">
      <v>0</v>
    </oc>
    <nc r="E60">
      <v>20</v>
    </nc>
  </rcc>
</revisions>
</file>

<file path=xl/revisions/revisionLog1411.xml><?xml version="1.0" encoding="utf-8"?>
<revisions xmlns="http://schemas.openxmlformats.org/spreadsheetml/2006/main" xmlns:r="http://schemas.openxmlformats.org/officeDocument/2006/relationships">
  <rcc rId="129" sId="3" numFmtId="4">
    <oc r="E23">
      <v>171</v>
    </oc>
    <nc r="E23">
      <v>18</v>
    </nc>
  </rcc>
  <rcc rId="130" sId="3" numFmtId="4">
    <oc r="E29">
      <v>813</v>
    </oc>
    <nc r="E29">
      <v>882</v>
    </nc>
  </rcc>
  <rcc rId="131" sId="3" numFmtId="4">
    <oc r="E33">
      <v>10</v>
    </oc>
    <nc r="E33">
      <v>4</v>
    </nc>
  </rcc>
  <rcc rId="132" sId="3" numFmtId="4">
    <oc r="E34">
      <v>10</v>
    </oc>
    <nc r="E34">
      <v>4</v>
    </nc>
  </rcc>
  <rcc rId="133" sId="3" numFmtId="4">
    <oc r="E35">
      <v>68</v>
    </oc>
    <nc r="E35">
      <v>73</v>
    </nc>
  </rcc>
  <rcc rId="134" sId="3" numFmtId="4">
    <oc r="E36">
      <v>68</v>
    </oc>
    <nc r="E36">
      <v>73</v>
    </nc>
  </rcc>
</revisions>
</file>

<file path=xl/revisions/revisionLog14111.xml><?xml version="1.0" encoding="utf-8"?>
<revisions xmlns="http://schemas.openxmlformats.org/spreadsheetml/2006/main" xmlns:r="http://schemas.openxmlformats.org/officeDocument/2006/relationships">
  <rcc rId="127" sId="3" numFmtId="4">
    <oc r="E7">
      <v>492</v>
    </oc>
    <nc r="E7">
      <v>529</v>
    </nc>
  </rcc>
  <rcc rId="128" sId="3" numFmtId="4">
    <nc r="E14">
      <v>-23</v>
    </nc>
  </rcc>
</revisions>
</file>

<file path=xl/revisions/revisionLog141111.xml><?xml version="1.0" encoding="utf-8"?>
<revisions xmlns="http://schemas.openxmlformats.org/spreadsheetml/2006/main" xmlns:r="http://schemas.openxmlformats.org/officeDocument/2006/relationships">
  <rcc rId="103" sId="2" numFmtId="4">
    <oc r="E8">
      <v>2430</v>
    </oc>
    <nc r="E8">
      <v>2111</v>
    </nc>
  </rcc>
  <rcc rId="104" sId="2" numFmtId="4">
    <oc r="E11">
      <v>177</v>
    </oc>
    <nc r="E11">
      <v>219</v>
    </nc>
  </rcc>
  <rcc rId="105" sId="2" numFmtId="4">
    <oc r="E12">
      <v>958</v>
    </oc>
    <nc r="E12">
      <v>638</v>
    </nc>
  </rcc>
  <rcc rId="106" sId="2" numFmtId="4">
    <oc r="E13">
      <v>3099</v>
    </oc>
    <nc r="E13">
      <v>2837</v>
    </nc>
  </rcc>
  <rcc rId="107" sId="2" numFmtId="4">
    <oc r="E14">
      <v>644</v>
    </oc>
    <nc r="E14">
      <v>611</v>
    </nc>
  </rcc>
  <rcc rId="108" sId="2" numFmtId="4">
    <oc r="E15">
      <v>985</v>
    </oc>
    <nc r="E15">
      <v>1072</v>
    </nc>
  </rcc>
  <rcc rId="109" sId="2" numFmtId="4">
    <oc r="E20">
      <v>5751</v>
    </oc>
    <nc r="E20">
      <v>6438</v>
    </nc>
  </rcc>
  <rcc rId="110" sId="2" numFmtId="4">
    <oc r="E22">
      <v>5751</v>
    </oc>
    <nc r="E22">
      <v>6438</v>
    </nc>
  </rcc>
  <rcc rId="111" sId="2" numFmtId="4">
    <oc r="E25">
      <v>202</v>
    </oc>
    <nc r="E25">
      <v>250</v>
    </nc>
  </rcc>
  <rcc rId="112" sId="2" numFmtId="4">
    <oc r="E30">
      <v>32</v>
    </oc>
    <nc r="E30">
      <v>24</v>
    </nc>
  </rcc>
  <rcc rId="113" sId="2" numFmtId="4">
    <oc r="E32">
      <v>1417</v>
    </oc>
    <nc r="E32">
      <v>2061</v>
    </nc>
  </rcc>
  <rcc rId="114" sId="2" numFmtId="4">
    <oc r="E33">
      <v>290</v>
    </oc>
    <nc r="E33">
      <v>400</v>
    </nc>
  </rcc>
  <rcc rId="115" sId="2" numFmtId="4">
    <oc r="E38">
      <v>40</v>
    </oc>
    <nc r="E38">
      <v>20</v>
    </nc>
  </rcc>
  <rcc rId="116" sId="2" numFmtId="4">
    <oc r="E42">
      <v>80</v>
    </oc>
    <nc r="E42">
      <v>60</v>
    </nc>
  </rcc>
  <rcc rId="117" sId="2" numFmtId="4">
    <oc r="E47">
      <v>42</v>
    </oc>
    <nc r="E47">
      <v>32</v>
    </nc>
  </rcc>
  <rcc rId="118" sId="2" numFmtId="4">
    <oc r="E48">
      <v>12</v>
    </oc>
    <nc r="E48">
      <v>10</v>
    </nc>
  </rcc>
  <rcc rId="119" sId="2" numFmtId="4">
    <oc r="E63">
      <v>32</v>
    </oc>
    <nc r="E63">
      <v>42</v>
    </nc>
  </rcc>
  <rcc rId="120" sId="2" numFmtId="4">
    <oc r="E62">
      <v>27</v>
    </oc>
    <nc r="E62"/>
  </rcc>
  <rcc rId="121" sId="2" numFmtId="4">
    <oc r="E71">
      <v>389</v>
    </oc>
    <nc r="E71">
      <v>246</v>
    </nc>
  </rcc>
  <rcc rId="122" sId="2" numFmtId="4">
    <oc r="E77">
      <f>ROUND(E76*18%,0)</f>
    </oc>
    <nc r="E77">
      <v>10</v>
    </nc>
  </rcc>
  <rcc rId="123" sId="2" numFmtId="4">
    <oc r="E97">
      <v>1312</v>
    </oc>
    <nc r="E97">
      <v>844</v>
    </nc>
  </rcc>
  <rcc rId="124" sId="2" numFmtId="4">
    <oc r="E99">
      <v>1312</v>
    </oc>
    <nc r="E99">
      <v>844</v>
    </nc>
  </rcc>
  <rcc rId="125" sId="2" numFmtId="4">
    <oc r="E102">
      <v>293</v>
    </oc>
    <nc r="E102">
      <v>246</v>
    </nc>
  </rcc>
  <rcc rId="126" sId="2" numFmtId="4">
    <oc r="E103">
      <f>E88-E97-E100-E101-E102-E77</f>
    </oc>
    <nc r="E103">
      <v>1648</v>
    </nc>
  </rcc>
</revisions>
</file>

<file path=xl/revisions/revisionLog1411111.xml><?xml version="1.0" encoding="utf-8"?>
<revisions xmlns="http://schemas.openxmlformats.org/spreadsheetml/2006/main" xmlns:r="http://schemas.openxmlformats.org/officeDocument/2006/relationships">
  <rfmt sheetId="8" sqref="V1:V1048576">
    <dxf>
      <fill>
        <patternFill>
          <bgColor theme="0"/>
        </patternFill>
      </fill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>
  <rcc rId="352" sId="9" numFmtId="4">
    <nc r="K30">
      <v>0</v>
    </nc>
  </rcc>
  <rcc rId="353" sId="2" numFmtId="4">
    <oc r="F99">
      <v>237</v>
    </oc>
    <nc r="F99">
      <v>490</v>
    </nc>
  </rcc>
  <rcc rId="354" sId="2" numFmtId="4">
    <oc r="G99">
      <f>G11+G12+111</f>
    </oc>
    <nc r="G99">
      <v>980</v>
    </nc>
  </rcc>
  <rcc rId="355" sId="2" numFmtId="4">
    <oc r="H99">
      <f>H11+H12+152</f>
    </oc>
    <nc r="H99">
      <v>1471</v>
    </nc>
  </rcc>
  <rcc rId="356" sId="2" numFmtId="4">
    <oc r="I99">
      <v>1151</v>
    </oc>
    <nc r="I99">
      <v>1965</v>
    </nc>
  </rcc>
  <rcc rId="357" sId="2" numFmtId="4">
    <oc r="I97">
      <v>1151</v>
    </oc>
    <nc r="I97">
      <f>I99</f>
    </nc>
  </rcc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174" sId="7" numFmtId="34">
    <oc r="F19">
      <v>272</v>
    </oc>
    <nc r="F19">
      <v>350</v>
    </nc>
  </rcc>
  <rcc rId="175" sId="7" numFmtId="34">
    <oc r="F20">
      <v>1145</v>
    </oc>
    <nc r="F20">
      <v>1711</v>
    </nc>
  </rcc>
  <rcc rId="176" sId="7" numFmtId="34">
    <oc r="F21">
      <v>3099</v>
    </oc>
    <nc r="F21">
      <v>3837</v>
    </nc>
  </rcc>
  <rcc rId="177" sId="7" numFmtId="34">
    <oc r="F23">
      <v>332</v>
    </oc>
    <nc r="F23">
      <v>426</v>
    </nc>
  </rcc>
  <rcc rId="178" sId="7" numFmtId="34">
    <oc r="F24">
      <v>1375</v>
    </oc>
    <nc r="F24">
      <v>2034</v>
    </nc>
  </rcc>
  <rcc rId="179" sId="7" numFmtId="34">
    <oc r="H28">
      <v>9450</v>
    </oc>
    <nc r="H28">
      <v>10084</v>
    </nc>
  </rcc>
  <rcc rId="180" sId="7" numFmtId="34">
    <oc r="H29">
      <v>2750</v>
    </oc>
    <nc r="H29">
      <v>3493</v>
    </nc>
  </rcc>
  <rcc rId="181" sId="7" numFmtId="34">
    <oc r="D19">
      <v>272</v>
    </oc>
    <nc r="D19">
      <v>350</v>
    </nc>
  </rcc>
  <rcc rId="182" sId="7" numFmtId="34">
    <oc r="D20">
      <v>1145</v>
    </oc>
    <nc r="D20">
      <v>1711</v>
    </nc>
  </rcc>
  <rcc rId="183" sId="7" numFmtId="34">
    <oc r="D21">
      <v>3099</v>
    </oc>
    <nc r="D21">
      <v>3837</v>
    </nc>
  </rcc>
  <rcc rId="184" sId="7" numFmtId="34">
    <oc r="D23">
      <v>332</v>
    </oc>
    <nc r="D23">
      <v>426</v>
    </nc>
  </rcc>
  <rcc rId="185" sId="7" numFmtId="34">
    <oc r="D24">
      <v>1375</v>
    </oc>
    <nc r="D24">
      <v>2034</v>
    </nc>
  </rcc>
  <rcc rId="186" sId="7" numFmtId="34">
    <oc r="F25">
      <v>3743</v>
    </oc>
    <nc r="F25">
      <v>3448</v>
    </nc>
  </rcc>
  <rcc rId="187" sId="7" numFmtId="34">
    <oc r="D27">
      <v>17325</v>
    </oc>
    <nc r="D27">
      <v>22325</v>
    </nc>
  </rcc>
  <rcc rId="188" sId="7" numFmtId="34">
    <oc r="D28">
      <v>9328</v>
    </oc>
    <nc r="D28">
      <v>10084</v>
    </nc>
  </rcc>
  <rcc rId="189" sId="7" numFmtId="34">
    <oc r="D29">
      <v>2580</v>
    </oc>
    <nc r="D29">
      <v>3493</v>
    </nc>
  </rcc>
  <rcc rId="190" sId="7" numFmtId="34">
    <oc r="F31">
      <v>22678</v>
    </oc>
    <nc r="F31">
      <v>29131</v>
    </nc>
  </rcc>
  <rcc rId="191" sId="7" numFmtId="34">
    <oc r="F32">
      <v>11929</v>
    </oc>
    <nc r="F32">
      <v>12962</v>
    </nc>
  </rcc>
  <rcc rId="192" sId="7" numFmtId="34">
    <oc r="F33">
      <v>8069</v>
    </oc>
    <nc r="F33">
      <v>7881</v>
    </nc>
  </rcc>
  <rcc rId="193" sId="7" numFmtId="34">
    <oc r="D31">
      <v>22678</v>
    </oc>
    <nc r="D31">
      <v>29131</v>
    </nc>
  </rcc>
  <rcc rId="194" sId="7" numFmtId="34">
    <oc r="D32">
      <v>11929</v>
    </oc>
    <nc r="D32">
      <v>12962</v>
    </nc>
  </rcc>
  <rcc rId="195" sId="7" numFmtId="34">
    <oc r="D33">
      <v>8069</v>
    </oc>
    <nc r="D33">
      <v>7881</v>
    </nc>
  </rcc>
  <rfmt sheetId="7" sqref="G27" start="0" length="0">
    <dxf>
      <border outline="0">
        <left style="thin">
          <color indexed="64"/>
        </left>
        <right/>
      </border>
    </dxf>
  </rfmt>
  <rfmt sheetId="7" sqref="G28" start="0" length="0">
    <dxf>
      <border outline="0">
        <left style="thin">
          <color indexed="64"/>
        </left>
        <right/>
      </border>
    </dxf>
  </rfmt>
  <rfmt sheetId="7" sqref="G29" start="0" length="0">
    <dxf>
      <border outline="0">
        <left style="thin">
          <color indexed="64"/>
        </left>
        <right/>
      </border>
    </dxf>
  </rfmt>
  <rfmt sheetId="7" sqref="F27" start="0" length="0">
    <dxf>
      <border>
        <left/>
      </border>
    </dxf>
  </rfmt>
  <rfmt sheetId="7" sqref="F27:G27" start="0" length="0">
    <dxf>
      <border>
        <top/>
      </border>
    </dxf>
  </rfmt>
  <rfmt sheetId="7" sqref="G27" start="0" length="0">
    <dxf>
      <border>
        <right/>
      </border>
    </dxf>
  </rfmt>
  <rfmt sheetId="7" sqref="F27:G27" start="0" length="0">
    <dxf>
      <border>
        <bottom/>
      </border>
    </dxf>
  </rfmt>
  <rfmt sheetId="7" sqref="F27" start="0" length="0">
    <dxf>
      <border>
        <left style="thin">
          <color indexed="64"/>
        </left>
      </border>
    </dxf>
  </rfmt>
  <rfmt sheetId="7" sqref="F27:G27" start="0" length="0">
    <dxf>
      <border>
        <top style="thin">
          <color indexed="64"/>
        </top>
      </border>
    </dxf>
  </rfmt>
  <rfmt sheetId="7" sqref="G27" start="0" length="0">
    <dxf>
      <border>
        <right style="thin">
          <color indexed="64"/>
        </right>
      </border>
    </dxf>
  </rfmt>
  <rfmt sheetId="7" sqref="F27:G27" start="0" length="0">
    <dxf>
      <border>
        <bottom style="thin">
          <color indexed="64"/>
        </bottom>
      </border>
    </dxf>
  </rfmt>
  <rfmt sheetId="7" sqref="F27:G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7" sqref="F27:G27">
    <dxf>
      <numFmt numFmtId="3" formatCode="#,##0"/>
    </dxf>
  </rfmt>
  <rcc rId="196" sId="7" odxf="1" dxf="1" numFmtId="34">
    <oc r="F27">
      <v>17325</v>
    </oc>
    <nc r="F27">
      <v>22325</v>
    </nc>
    <ndxf>
      <numFmt numFmtId="177" formatCode="_(* #,##0_);_(* \(#,##0\);_(* &quot;-&quot;??_);_(@_)"/>
      <border outline="0">
        <left/>
        <right/>
      </border>
    </ndxf>
  </rcc>
  <rfmt sheetId="7" sqref="G27" start="0" length="0">
    <dxf>
      <numFmt numFmtId="177" formatCode="_(* #,##0_);_(* \(#,##0\);_(* &quot;-&quot;??_);_(@_)"/>
      <border outline="0">
        <left/>
      </border>
    </dxf>
  </rfmt>
  <rcc rId="197" sId="7" odxf="1" dxf="1" numFmtId="34">
    <oc r="F28">
      <v>9328</v>
    </oc>
    <nc r="F28">
      <v>10084</v>
    </nc>
    <ndxf>
      <border outline="0">
        <top style="thin">
          <color indexed="64"/>
        </top>
      </border>
    </ndxf>
  </rcc>
  <rfmt sheetId="7" sqref="G28" start="0" length="0">
    <dxf>
      <border outline="0">
        <left/>
        <right style="thin">
          <color indexed="64"/>
        </right>
        <top style="thin">
          <color indexed="64"/>
        </top>
      </border>
    </dxf>
  </rfmt>
  <rcc rId="198" sId="7" numFmtId="34">
    <oc r="F29">
      <v>2580</v>
    </oc>
    <nc r="F29">
      <v>3493</v>
    </nc>
  </rcc>
  <rfmt sheetId="7" sqref="G29" start="0" length="0">
    <dxf>
      <border outline="0">
        <left/>
        <right style="thin">
          <color indexed="64"/>
        </right>
      </border>
    </dxf>
  </rfmt>
  <rfmt sheetId="7" sqref="E27" start="0" length="0">
    <dxf>
      <border>
        <right style="thin">
          <color indexed="64"/>
        </right>
      </border>
    </dxf>
  </rfmt>
  <rfmt sheetId="7" sqref="D27:E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15111.xml><?xml version="1.0" encoding="utf-8"?>
<revisions xmlns="http://schemas.openxmlformats.org/spreadsheetml/2006/main" xmlns:r="http://schemas.openxmlformats.org/officeDocument/2006/relationships">
  <rcc rId="144" sId="4" numFmtId="4">
    <nc r="E18">
      <v>-90</v>
    </nc>
  </rcc>
  <rcc rId="145" sId="4" numFmtId="4">
    <nc r="E19">
      <v>-112</v>
    </nc>
  </rcc>
  <rcc rId="146" sId="4" numFmtId="4">
    <nc r="E20">
      <v>55</v>
    </nc>
  </rcc>
  <rcc rId="147" sId="4" numFmtId="4">
    <oc r="E22">
      <v>-449</v>
    </oc>
    <nc r="E22">
      <v>-4</v>
    </nc>
  </rcc>
  <rcc rId="148" sId="4" numFmtId="4">
    <oc r="E23">
      <v>11</v>
    </oc>
    <nc r="E23">
      <v>-288</v>
    </nc>
  </rcc>
  <rcc rId="149" sId="4" numFmtId="4">
    <oc r="E24">
      <v>-142</v>
    </oc>
    <nc r="E24">
      <v>20</v>
    </nc>
  </rcc>
  <rcc rId="150" sId="4">
    <oc r="E21">
      <f>SUM(E22:E24)</f>
    </oc>
    <nc r="E21">
      <f>E22+E23+E24</f>
    </nc>
  </rcc>
</revisions>
</file>

<file path=xl/revisions/revisionLog151111.xml><?xml version="1.0" encoding="utf-8"?>
<revisions xmlns="http://schemas.openxmlformats.org/spreadsheetml/2006/main" xmlns:r="http://schemas.openxmlformats.org/officeDocument/2006/relationships">
  <rcc rId="142" sId="4">
    <oc r="E12">
      <f>E13+E14</f>
    </oc>
    <nc r="E12">
      <f>E13+E14+E15</f>
    </nc>
  </rcc>
  <rcc rId="143" sId="4" numFmtId="4">
    <nc r="E15">
      <v>7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c rId="258" sId="5" numFmtId="4">
    <oc r="F8">
      <v>37</v>
    </oc>
    <nc r="F8">
      <v>31</v>
    </nc>
  </rcc>
  <rcc rId="259" sId="5" numFmtId="4">
    <oc r="G8">
      <v>136</v>
    </oc>
    <nc r="G8">
      <v>780</v>
    </nc>
  </rcc>
  <rcc rId="260" sId="5" numFmtId="4">
    <oc r="H8">
      <v>179</v>
    </oc>
    <nc r="H8">
      <v>799</v>
    </nc>
  </rcc>
  <rcc rId="261" sId="5" numFmtId="4">
    <oc r="I8">
      <v>179</v>
    </oc>
    <nc r="I8">
      <v>799</v>
    </nc>
  </rcc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209" sId="2" numFmtId="4">
    <oc r="I8">
      <v>1700</v>
    </oc>
    <nc r="I8">
      <v>2200</v>
    </nc>
  </rcc>
  <rcc rId="210" sId="2" numFmtId="4">
    <oc r="G8">
      <v>1150</v>
    </oc>
    <nc r="G8">
      <v>1600</v>
    </nc>
  </rcc>
  <rcc rId="211" sId="2" numFmtId="4">
    <oc r="H8">
      <v>1300</v>
    </oc>
    <nc r="H8">
      <v>2050</v>
    </nc>
  </rcc>
  <rcc rId="212" sId="2" numFmtId="4">
    <oc r="G15">
      <v>150</v>
    </oc>
    <nc r="G15">
      <v>370</v>
    </nc>
  </rcc>
  <rcc rId="213" sId="2" numFmtId="4">
    <oc r="H22">
      <v>4679</v>
    </oc>
    <nc r="H22">
      <v>4518</v>
    </nc>
  </rcc>
  <rcc rId="214" sId="2" numFmtId="4">
    <oc r="F22">
      <v>1765</v>
    </oc>
    <nc r="F22">
      <v>1899</v>
    </nc>
  </rcc>
  <rcc rId="215" sId="2" numFmtId="4">
    <oc r="H15">
      <v>150</v>
    </oc>
    <nc r="H15">
      <v>390</v>
    </nc>
  </rcc>
  <rcc rId="216" sId="2" numFmtId="4">
    <oc r="I15">
      <v>241</v>
    </oc>
    <nc r="I15">
      <v>420</v>
    </nc>
  </rcc>
  <rcc rId="217" sId="2" numFmtId="4">
    <oc r="H71">
      <v>499</v>
    </oc>
    <nc r="H71">
      <v>521</v>
    </nc>
  </rcc>
  <rcc rId="218" sId="2" numFmtId="4">
    <oc r="I71">
      <v>499</v>
    </oc>
    <nc r="I71">
      <v>549</v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cc rId="162" sId="7" numFmtId="34">
    <oc r="H19">
      <v>272</v>
    </oc>
    <nc r="H19">
      <v>350</v>
    </nc>
  </rcc>
  <rcc rId="163" sId="7" numFmtId="34">
    <oc r="H20">
      <v>1145</v>
    </oc>
    <nc r="H20">
      <v>1711</v>
    </nc>
  </rcc>
  <rcc rId="164" sId="7" numFmtId="34">
    <oc r="H21">
      <v>3099</v>
    </oc>
    <nc r="H21">
      <v>3837</v>
    </nc>
  </rcc>
  <rcc rId="165" sId="7" numFmtId="34">
    <oc r="H23">
      <v>332</v>
    </oc>
    <nc r="H23">
      <v>426</v>
    </nc>
  </rcc>
  <rcc rId="166" sId="7" numFmtId="34">
    <oc r="H24">
      <v>1375</v>
    </oc>
    <nc r="H24">
      <v>2034</v>
    </nc>
  </rcc>
  <rcc rId="167" sId="7" numFmtId="34">
    <oc r="H25">
      <v>3743</v>
    </oc>
    <nc r="H25">
      <v>3448</v>
    </nc>
  </rcc>
  <rcc rId="168" sId="7" numFmtId="34">
    <oc r="H27">
      <v>17325</v>
    </oc>
    <nc r="H27">
      <v>22325</v>
    </nc>
  </rcc>
  <rcc rId="169" sId="7" numFmtId="34">
    <oc r="H28">
      <v>9328</v>
    </oc>
    <nc r="H28">
      <v>9450</v>
    </nc>
  </rcc>
  <rcc rId="170" sId="7" numFmtId="34">
    <oc r="H29">
      <v>2580</v>
    </oc>
    <nc r="H29">
      <v>2750</v>
    </nc>
  </rcc>
  <rcc rId="171" sId="7" numFmtId="34">
    <oc r="H31">
      <v>22678</v>
    </oc>
    <nc r="H31">
      <v>29131</v>
    </nc>
  </rcc>
  <rcc rId="172" sId="7" numFmtId="34">
    <oc r="H32">
      <v>11929</v>
    </oc>
    <nc r="H32">
      <v>12962</v>
    </nc>
  </rcc>
  <rcc rId="173" sId="7" numFmtId="34">
    <oc r="H33">
      <v>8069</v>
    </oc>
    <nc r="H33">
      <v>7881</v>
    </nc>
  </rcc>
</revisions>
</file>

<file path=xl/revisions/revisionLog161111.xml><?xml version="1.0" encoding="utf-8"?>
<revisions xmlns="http://schemas.openxmlformats.org/spreadsheetml/2006/main" xmlns:r="http://schemas.openxmlformats.org/officeDocument/2006/relationships">
  <rcc rId="156" sId="7" numFmtId="34">
    <oc r="D12">
      <v>5</v>
    </oc>
    <nc r="D12">
      <v>9</v>
    </nc>
  </rcc>
  <rcc rId="157" sId="7" numFmtId="34">
    <oc r="D13">
      <v>14</v>
    </oc>
    <nc r="D13">
      <v>11</v>
    </nc>
  </rcc>
  <rcc rId="158" sId="7" numFmtId="34">
    <oc r="F12">
      <v>5</v>
    </oc>
    <nc r="F12">
      <v>9</v>
    </nc>
  </rcc>
  <rcc rId="159" sId="7" numFmtId="34">
    <oc r="F13">
      <v>14</v>
    </oc>
    <nc r="F13">
      <v>11</v>
    </nc>
  </rcc>
  <rcc rId="160" sId="7" numFmtId="34">
    <oc r="H13">
      <v>14</v>
    </oc>
    <nc r="H13">
      <v>11</v>
    </nc>
  </rcc>
  <rcc rId="161" sId="7" numFmtId="34">
    <oc r="H12">
      <v>5</v>
    </oc>
    <nc r="H12">
      <v>9</v>
    </nc>
  </rcc>
</revisions>
</file>

<file path=xl/revisions/revisionLog1611111.xml><?xml version="1.0" encoding="utf-8"?>
<revisions xmlns="http://schemas.openxmlformats.org/spreadsheetml/2006/main" xmlns:r="http://schemas.openxmlformats.org/officeDocument/2006/relationships">
  <rcc rId="155" sId="5">
    <oc r="E8">
      <v>215</v>
    </oc>
    <nc r="E8">
      <v>145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537" sId="2">
    <oc r="I98">
      <f>I10</f>
    </oc>
    <nc r="I98"/>
  </rcc>
  <rcc rId="538" sId="2" numFmtId="4">
    <oc r="I22">
      <v>6430</v>
    </oc>
    <nc r="I22">
      <v>6460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>
  <rcc rId="335" sId="9" odxf="1" dxf="1">
    <oc r="O32">
      <f>SUM(O31:O31)</f>
    </oc>
    <nc r="O32">
      <f>SUM(O30:O31)</f>
    </nc>
    <odxf>
      <numFmt numFmtId="0" formatCode="General"/>
    </odxf>
    <ndxf>
      <numFmt numFmtId="1" formatCode="0"/>
    </ndxf>
  </rcc>
  <rcc rId="336" sId="9" odxf="1" dxf="1">
    <oc r="P32">
      <f>SUM(P31:P31)</f>
    </oc>
    <nc r="P32">
      <f>SUM(P30:P31)</f>
    </nc>
    <odxf>
      <numFmt numFmtId="0" formatCode="General"/>
    </odxf>
    <ndxf>
      <numFmt numFmtId="1" formatCode="0"/>
    </ndxf>
  </rcc>
  <rcc rId="337" sId="9" odxf="1" dxf="1">
    <oc r="Q32">
      <f>SUM(Q31:Q31)</f>
    </oc>
    <nc r="Q32">
      <f>SUM(Q30:Q31)</f>
    </nc>
    <odxf>
      <numFmt numFmtId="0" formatCode="General"/>
    </odxf>
    <ndxf>
      <numFmt numFmtId="1" formatCode="0"/>
    </ndxf>
  </rcc>
  <rcc rId="338" sId="9" odxf="1" dxf="1">
    <oc r="R32">
      <f>SUM(R31:R31)</f>
    </oc>
    <nc r="R32">
      <f>SUM(R30:R31)</f>
    </nc>
    <odxf>
      <numFmt numFmtId="0" formatCode="General"/>
    </odxf>
    <ndxf>
      <numFmt numFmtId="1" formatCode="0"/>
    </ndxf>
  </rcc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c rId="203" sId="4" numFmtId="4">
    <oc r="H40">
      <v>20</v>
    </oc>
    <nc r="H40">
      <v>800</v>
    </nc>
  </rcc>
  <rcc rId="204" sId="4" numFmtId="4">
    <oc r="I40">
      <v>20</v>
    </oc>
    <nc r="I40">
      <v>800</v>
    </nc>
  </rcc>
  <rcc rId="205" sId="4" numFmtId="4">
    <oc r="G40">
      <v>0</v>
    </oc>
    <nc r="G40">
      <v>800</v>
    </nc>
  </rcc>
  <rcc rId="206" sId="4" numFmtId="4">
    <oc r="G60">
      <v>0</v>
    </oc>
    <nc r="G60">
      <v>800</v>
    </nc>
  </rcc>
  <rcc rId="207" sId="4" numFmtId="4">
    <oc r="H60">
      <v>20</v>
    </oc>
    <nc r="H60">
      <v>800</v>
    </nc>
  </rcc>
  <rcc rId="208" sId="4" numFmtId="4">
    <oc r="I60">
      <v>20</v>
    </oc>
    <nc r="I60">
      <v>800</v>
    </nc>
  </rcc>
</revisions>
</file>

<file path=xl/revisions/revisionLog171111.xml><?xml version="1.0" encoding="utf-8"?>
<revisions xmlns="http://schemas.openxmlformats.org/spreadsheetml/2006/main" xmlns:r="http://schemas.openxmlformats.org/officeDocument/2006/relationships">
  <rcc rId="201" sId="2" numFmtId="4">
    <oc r="I20">
      <f>I22</f>
    </oc>
    <nc r="I20">
      <v>6460</v>
    </nc>
  </rcc>
  <rcc rId="202" sId="2" numFmtId="4">
    <oc r="I22">
      <v>6328</v>
    </oc>
    <nc r="I22">
      <v>6430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fmt sheetId="9" sqref="L30:N30">
    <dxf>
      <fill>
        <patternFill>
          <bgColor rgb="FF92D050"/>
        </patternFill>
      </fill>
    </dxf>
  </rfmt>
</revisions>
</file>

<file path=xl/revisions/revisionLog181.xml><?xml version="1.0" encoding="utf-8"?>
<revisions xmlns="http://schemas.openxmlformats.org/spreadsheetml/2006/main" xmlns:r="http://schemas.openxmlformats.org/officeDocument/2006/relationships">
  <rcc rId="534" sId="3" numFmtId="4">
    <oc r="D20">
      <v>52</v>
    </oc>
    <nc r="D20">
      <v>7</v>
    </nc>
  </rcc>
  <rcc rId="535" sId="3" numFmtId="4">
    <oc r="D21">
      <v>177</v>
    </oc>
    <nc r="D21">
      <v>23</v>
    </nc>
  </rcc>
  <rcc rId="536" sId="3" numFmtId="4">
    <oc r="F22">
      <v>10</v>
    </oc>
    <nc r="F22">
      <v>0</v>
    </nc>
  </rcc>
</revisions>
</file>

<file path=xl/revisions/revisionLog1811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c rId="301" sId="9">
    <oc r="B30" t="inlineStr">
      <is>
        <t>Придбання основних засобів (бортовий причеп)</t>
      </is>
    </oc>
    <nc r="B30" t="inlineStr">
      <is>
        <t>Придбання основних засобів (бони)</t>
      </is>
    </nc>
  </rcc>
  <rcc rId="302" sId="9" numFmtId="4">
    <nc r="L30">
      <v>800</v>
    </nc>
  </rcc>
  <rcc rId="303" sId="9" numFmtId="4">
    <nc r="M30">
      <v>800</v>
    </nc>
  </rcc>
  <rcc rId="304" sId="9" numFmtId="4">
    <nc r="N30">
      <v>800</v>
    </nc>
  </rcc>
  <rcc rId="305" sId="9" numFmtId="4">
    <nc r="O30">
      <v>37</v>
    </nc>
  </rcc>
  <rcc rId="306" sId="9" numFmtId="4">
    <nc r="P30">
      <v>136</v>
    </nc>
  </rcc>
  <rcc rId="307" sId="9" numFmtId="4">
    <nc r="Q30">
      <v>159</v>
    </nc>
  </rcc>
  <rcc rId="308" sId="9" numFmtId="4">
    <nc r="R30">
      <v>159</v>
    </nc>
  </rcc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cc rId="228" sId="3" numFmtId="4">
    <oc r="G23">
      <v>159</v>
    </oc>
    <nc r="G23"/>
  </rcc>
  <rcc rId="229" sId="3" numFmtId="4">
    <nc r="G24">
      <v>-32</v>
    </nc>
  </rcc>
  <rcc rId="230" sId="3" numFmtId="4">
    <oc r="H23">
      <v>171</v>
    </oc>
    <nc r="H23">
      <v>26</v>
    </nc>
  </rcc>
  <rcc rId="231" sId="3" numFmtId="4">
    <oc r="I23">
      <v>171</v>
    </oc>
    <nc r="I23">
      <v>54</v>
    </nc>
  </rcc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8111111.xml><?xml version="1.0" encoding="utf-8"?>
<revisions xmlns="http://schemas.openxmlformats.org/spreadsheetml/2006/main" xmlns:r="http://schemas.openxmlformats.org/officeDocument/2006/relationships">
  <rcc rId="219" sId="3" numFmtId="4">
    <oc r="F33">
      <v>1</v>
    </oc>
    <nc r="F33"/>
  </rcc>
  <rcc rId="220" sId="3" numFmtId="4">
    <oc r="G33">
      <v>5</v>
    </oc>
    <nc r="G33"/>
  </rcc>
  <rcc rId="221" sId="3" numFmtId="4">
    <oc r="H33">
      <v>9</v>
    </oc>
    <nc r="H33"/>
  </rcc>
  <rcc rId="222" sId="3" numFmtId="4">
    <oc r="I33">
      <v>9</v>
    </oc>
    <nc r="I33"/>
  </rcc>
  <rcc rId="223" sId="3" numFmtId="4">
    <oc r="F34">
      <v>1</v>
    </oc>
    <nc r="F34"/>
  </rcc>
  <rcc rId="224" sId="3" numFmtId="4">
    <oc r="G34">
      <v>5</v>
    </oc>
    <nc r="G34"/>
  </rcc>
  <rcc rId="225" sId="3" numFmtId="4">
    <oc r="H34">
      <v>9</v>
    </oc>
    <nc r="H34"/>
  </rcc>
  <rcc rId="226" sId="3" numFmtId="4">
    <oc r="I34">
      <v>9</v>
    </oc>
    <nc r="I34"/>
  </rcc>
  <rcc rId="227" sId="3" numFmtId="4">
    <oc r="F24">
      <v>-75</v>
    </oc>
    <nc r="F24">
      <v>-92</v>
    </nc>
  </rcc>
</revisions>
</file>

<file path=xl/revisions/revisionLog19.xml><?xml version="1.0" encoding="utf-8"?>
<revisions xmlns="http://schemas.openxmlformats.org/spreadsheetml/2006/main" xmlns:r="http://schemas.openxmlformats.org/officeDocument/2006/relationships">
  <rfmt sheetId="7" sqref="H31:I33">
    <dxf>
      <fill>
        <patternFill>
          <bgColor rgb="FF92D050"/>
        </patternFill>
      </fill>
    </dxf>
  </rfmt>
</revisions>
</file>

<file path=xl/revisions/revisionLog191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v guid="{43DCEB14-ADF8-4168-9283-6542A71D3CF7}" action="delete"/>
  <rdn rId="0" localSheetId="1" customView="1" name="Z_43DCEB14_ADF8_4168_9283_6542A71D3CF7_.wvu.PrintArea" hidden="1" oldHidden="1">
    <formula>'Осн. фін. пок.'!$A$1:$J$87</formula>
    <oldFormula>'Осн. фін. пок.'!$A$1:$J$87</oldFormula>
  </rdn>
  <rdn rId="0" localSheetId="1" customView="1" name="Z_43DCEB14_ADF8_4168_9283_6542A71D3CF7_.wvu.PrintTitles" hidden="1" oldHidden="1">
    <formula>'Осн. фін. пок.'!$36:$36</formula>
    <oldFormula>'Осн. фін. пок.'!$36:$36</oldFormula>
  </rdn>
  <rdn rId="0" localSheetId="2" customView="1" name="Z_43DCEB14_ADF8_4168_9283_6542A71D3CF7_.wvu.PrintArea" hidden="1" oldHidden="1">
    <formula>'I. Фін результат'!$A$1:$J$110</formula>
    <oldFormula>'I. Фін результат'!$A$1:$J$110</oldFormula>
  </rdn>
  <rdn rId="0" localSheetId="2" customView="1" name="Z_43DCEB14_ADF8_4168_9283_6542A71D3CF7_.wvu.PrintTitles" hidden="1" oldHidden="1">
    <formula>'I. Фін результат'!$5:$5</formula>
    <oldFormula>'I. Фін результат'!$5:$5</oldFormula>
  </rdn>
  <rdn rId="0" localSheetId="3" customView="1" name="Z_43DCEB14_ADF8_4168_9283_6542A71D3CF7_.wvu.PrintArea" hidden="1" oldHidden="1">
    <formula>'ІІ. Розр. з бюджетом'!$A$1:$I$42</formula>
    <oldFormula>'ІІ. Розр. з бюджетом'!$A$1:$I$42</oldFormula>
  </rdn>
  <rdn rId="0" localSheetId="3" customView="1" name="Z_43DCEB14_ADF8_4168_9283_6542A71D3CF7_.wvu.PrintTitles" hidden="1" oldHidden="1">
    <formula>'ІІ. Розр. з бюджетом'!$5:$5</formula>
    <oldFormula>'ІІ. Розр. з бюджетом'!$5:$5</oldFormula>
  </rdn>
  <rdn rId="0" localSheetId="4" customView="1" name="Z_43DCEB14_ADF8_4168_9283_6542A71D3CF7_.wvu.PrintArea" hidden="1" oldHidden="1">
    <formula>'ІІІ. Рух грош. коштів'!$A$1:$I$85</formula>
    <oldFormula>'ІІІ. Рух грош. коштів'!$A$1:$I$85</oldFormula>
  </rdn>
  <rdn rId="0" localSheetId="4" customView="1" name="Z_43DCEB14_ADF8_4168_9283_6542A71D3CF7_.wvu.PrintTitles" hidden="1" oldHidden="1">
    <formula>'ІІІ. Рух грош. коштів'!$5:$5</formula>
    <oldFormula>'ІІІ. Рух грош. коштів'!$5:$5</oldFormula>
  </rdn>
  <rdn rId="0" localSheetId="5" customView="1" name="Z_43DCEB14_ADF8_4168_9283_6542A71D3CF7_.wvu.PrintArea" hidden="1" oldHidden="1">
    <formula>'IV. Кап. інвестиції'!$A$1:$I$16</formula>
    <oldFormula>'IV. Кап. інвестиції'!$A$1:$I$16</oldFormula>
  </rdn>
  <rdn rId="0" localSheetId="6" customView="1" name="Z_43DCEB14_ADF8_4168_9283_6542A71D3CF7_.wvu.PrintArea" hidden="1" oldHidden="1">
    <formula>' V. Коефіцієнти'!$A$1:$H$26</formula>
    <oldFormula>' V. Коефіцієнти'!$A$1:$H$26</oldFormula>
  </rdn>
  <rdn rId="0" localSheetId="6" customView="1" name="Z_43DCEB14_ADF8_4168_9283_6542A71D3CF7_.wvu.PrintTitles" hidden="1" oldHidden="1">
    <formula>' V. Коефіцієнти'!$5:$5</formula>
    <oldFormula>' V. Коефіцієнти'!$5:$5</oldFormula>
  </rdn>
  <rdn rId="0" localSheetId="7" customView="1" name="Z_43DCEB14_ADF8_4168_9283_6542A71D3CF7_.wvu.PrintArea" hidden="1" oldHidden="1">
    <formula>'6.1. Інша інфо_1'!$A$1:$O$81</formula>
    <oldFormula>'6.1. Інша інфо_1'!$A$1:$O$81</oldFormula>
  </rdn>
  <rdn rId="0" localSheetId="9" customView="1" name="Z_43DCEB14_ADF8_4168_9283_6542A71D3CF7_.wvu.PrintArea" hidden="1" oldHidden="1">
    <formula>'6.2. Інша інфо_2'!$A$1:$AE$54</formula>
    <oldFormula>'6.2. Інша інфо_2'!$A$1:$AE$54</oldFormula>
  </rdn>
  <rcv guid="{43DCEB14-ADF8-4168-9283-6542A71D3CF7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c rId="587" sId="3" odxf="1" dxf="1" numFmtId="4">
    <oc r="D20">
      <v>7</v>
    </oc>
    <nc r="D20">
      <f>D9</f>
    </nc>
    <odxf>
      <fill>
        <patternFill>
          <bgColor rgb="FF92D050"/>
        </patternFill>
      </fill>
    </odxf>
    <ndxf>
      <fill>
        <patternFill>
          <bgColor indexed="43"/>
        </patternFill>
      </fill>
    </ndxf>
  </rcc>
  <rcc rId="588" sId="3" odxf="1" dxf="1" numFmtId="4">
    <oc r="D21">
      <v>23</v>
    </oc>
    <nc r="D21">
      <f>D10</f>
    </nc>
    <odxf>
      <fill>
        <patternFill>
          <bgColor rgb="FF92D050"/>
        </patternFill>
      </fill>
    </odxf>
    <ndxf>
      <fill>
        <patternFill>
          <bgColor indexed="43"/>
        </patternFill>
      </fill>
    </ndxf>
  </rcc>
  <rcc rId="589" sId="3" odxf="1" dxf="1" numFmtId="4">
    <oc r="F22">
      <v>0</v>
    </oc>
    <nc r="F22">
      <f>'I. Фін результат'!F77</f>
    </nc>
    <odxf>
      <fill>
        <patternFill>
          <bgColor rgb="FF92D050"/>
        </patternFill>
      </fill>
    </odxf>
    <ndxf>
      <fill>
        <patternFill>
          <bgColor indexed="43"/>
        </patternFill>
      </fill>
    </ndxf>
  </rcc>
  <rfmt sheetId="1" sqref="D74:D83">
    <dxf>
      <fill>
        <patternFill>
          <bgColor rgb="FFFF0000"/>
        </patternFill>
      </fill>
    </dxf>
  </rfmt>
  <rcc rId="590" sId="1">
    <nc r="D84" t="inlineStr">
      <is>
        <t>план 2020</t>
      </is>
    </nc>
  </rcc>
  <rcc rId="591" sId="1" odxf="1" dxf="1" numFmtId="4">
    <oc r="F77">
      <v>43439</v>
    </oc>
    <nc r="F77">
      <f>F74+F75</f>
    </nc>
    <odxf>
      <fill>
        <patternFill>
          <bgColor rgb="FF92D050"/>
        </patternFill>
      </fill>
    </odxf>
    <ndxf>
      <fill>
        <patternFill>
          <bgColor theme="0"/>
        </patternFill>
      </fill>
    </ndxf>
  </rcc>
  <rfmt sheetId="1" sqref="F74:F83">
    <dxf>
      <fill>
        <patternFill>
          <bgColor theme="0"/>
        </patternFill>
      </fill>
    </dxf>
  </rfmt>
  <rfmt sheetId="1" sqref="C74:C83">
    <dxf>
      <fill>
        <patternFill>
          <bgColor theme="0"/>
        </patternFill>
      </fill>
    </dxf>
  </rfmt>
  <rfmt sheetId="1" sqref="E75">
    <dxf>
      <fill>
        <patternFill>
          <bgColor rgb="FFFF0000"/>
        </patternFill>
      </fill>
    </dxf>
  </rfmt>
  <rcc rId="592" sId="2">
    <oc r="E76">
      <f>E65+E66+E67+E70-E69-E68-E74</f>
    </oc>
    <nc r="E76">
      <f>E65+E66+E67+E70-E69-E68-E74</f>
    </nc>
  </rcc>
  <rcc rId="593" sId="2">
    <oc r="E65">
      <f>E19+E20-E24-E49-E56</f>
    </oc>
    <nc r="E65">
      <f>E19+E20-E24-E49-E56</f>
    </nc>
  </rcc>
  <rcmt sheetId="2" cell="C87" guid="{00000000-0000-0000-0000-000000000000}" action="delete" author="1235"/>
  <rcmt sheetId="2" cell="C88" guid="{00000000-0000-0000-0000-000000000000}" action="delete" author="1235"/>
  <rfmt sheetId="2" sqref="J88" start="0" length="0">
    <dxf/>
  </rfmt>
  <rfmt sheetId="2" sqref="L88" start="0" length="0">
    <dxf>
      <numFmt numFmtId="1" formatCode="0"/>
    </dxf>
  </rfmt>
  <rfmt sheetId="2" sqref="K88" start="0" length="0">
    <dxf>
      <numFmt numFmtId="1" formatCode="0"/>
    </dxf>
  </rfmt>
  <rcc rId="594" sId="3">
    <oc r="C38">
      <f>SUM(C19,C22:C24,C25,C37)</f>
    </oc>
    <nc r="C38">
      <f>SUM(C19,C22:C24,C25,C37)</f>
    </nc>
  </rcc>
  <rcc rId="595" sId="7">
    <oc r="D9" t="inlineStr">
      <is>
        <t>План минулого року</t>
      </is>
    </oc>
    <nc r="D9" t="inlineStr">
      <is>
        <t>План минулого року. План 2019</t>
      </is>
    </nc>
  </rcc>
  <rcc rId="596" sId="7">
    <oc r="F9" t="inlineStr">
      <is>
        <t>Факт минулого року</t>
      </is>
    </oc>
    <nc r="F9" t="inlineStr">
      <is>
        <t>Факт минулого року. Факт 2019</t>
      </is>
    </nc>
  </rcc>
  <rcc rId="597" sId="7">
    <oc r="H9" t="inlineStr">
      <is>
        <t>План поточного року</t>
      </is>
    </oc>
    <nc r="H9" t="inlineStr">
      <is>
        <t>План поточного року. План 2020</t>
      </is>
    </nc>
  </rcc>
  <rfmt sheetId="7" sqref="D9:I9">
    <dxf>
      <fill>
        <patternFill patternType="solid">
          <bgColor rgb="FFFF0000"/>
        </patternFill>
      </fill>
    </dxf>
  </rfmt>
  <rfmt sheetId="7" sqref="J31:K31">
    <dxf>
      <fill>
        <patternFill>
          <bgColor theme="0"/>
        </patternFill>
      </fill>
    </dxf>
  </rfmt>
  <rfmt sheetId="7" sqref="D56:F56">
    <dxf>
      <fill>
        <patternFill>
          <bgColor theme="0"/>
        </patternFill>
      </fill>
    </dxf>
  </rfmt>
  <rfmt sheetId="7" sqref="D56:F56">
    <dxf>
      <fill>
        <patternFill>
          <bgColor rgb="FFFF0000"/>
        </patternFill>
      </fill>
    </dxf>
  </rfmt>
  <rfmt sheetId="7" sqref="J56:O56">
    <dxf>
      <fill>
        <patternFill>
          <bgColor theme="0"/>
        </patternFill>
      </fill>
    </dxf>
  </rfmt>
  <rfmt sheetId="9" sqref="L30:N30">
    <dxf>
      <fill>
        <patternFill>
          <bgColor rgb="FFFF0000"/>
        </patternFill>
      </fill>
    </dxf>
  </rfmt>
  <rcc rId="598" sId="9">
    <nc r="M25" t="inlineStr">
      <is>
        <t>без пдв</t>
      </is>
    </nc>
  </rcc>
  <rfmt sheetId="9" sqref="M25">
    <dxf>
      <fill>
        <patternFill patternType="solid">
          <bgColor rgb="FFFF0000"/>
        </patternFill>
      </fill>
    </dxf>
  </rfmt>
  <rcc rId="599" sId="5" numFmtId="4">
    <oc r="F8">
      <v>31</v>
    </oc>
    <nc r="F8">
      <f>'6.2. Інша інфо_2'!W32</f>
    </nc>
  </rcc>
  <rcc rId="600" sId="5" odxf="1" dxf="1" numFmtId="4">
    <oc r="G8">
      <v>780</v>
    </oc>
    <nc r="G8">
      <f>'6.2. Інша інфо_2'!X32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01" sId="5" odxf="1" dxf="1" numFmtId="4">
    <oc r="H8">
      <v>799</v>
    </oc>
    <nc r="H8">
      <f>'6.2. Інша інфо_2'!Y32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02" sId="5" odxf="1" dxf="1" numFmtId="4">
    <oc r="I8">
      <v>799</v>
    </oc>
    <nc r="I8">
      <f>'6.2. Інша інфо_2'!Z32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03" sId="7">
    <oc r="D56">
      <v>2427</v>
    </oc>
    <nc r="D56">
      <v>2627</v>
    </nc>
  </rcc>
  <rfmt sheetId="7" sqref="D56:F56">
    <dxf>
      <fill>
        <patternFill>
          <bgColor theme="0"/>
        </patternFill>
      </fill>
    </dxf>
  </rfmt>
  <rcc rId="604" sId="1" numFmtId="4">
    <oc r="C76">
      <v>343</v>
    </oc>
    <nc r="C76">
      <f>C66</f>
    </nc>
  </rcc>
  <rcc rId="605" sId="1" odxf="1" dxf="1" numFmtId="4">
    <oc r="D76">
      <v>647</v>
    </oc>
    <nc r="D76">
      <f>D66</f>
    </nc>
    <odxf>
      <fill>
        <patternFill>
          <bgColor rgb="FFFF0000"/>
        </patternFill>
      </fill>
    </odxf>
    <ndxf>
      <fill>
        <patternFill>
          <bgColor theme="0"/>
        </patternFill>
      </fill>
    </ndxf>
  </rcc>
  <rcc rId="606" sId="1">
    <oc r="E76">
      <f>'ІІІ. Рух грош. коштів'!I79</f>
    </oc>
    <nc r="E76">
      <f>E66</f>
    </nc>
  </rcc>
  <rcc rId="607" sId="1" numFmtId="4">
    <oc r="F76">
      <v>808</v>
    </oc>
    <nc r="F76">
      <f>F66</f>
    </nc>
  </rcc>
  <rcc rId="608" sId="2" odxf="1" dxf="1">
    <nc r="L22">
      <f>K22-I22</f>
    </nc>
    <odxf>
      <numFmt numFmtId="0" formatCode="General"/>
    </odxf>
    <ndxf>
      <numFmt numFmtId="1" formatCode="0"/>
    </ndxf>
  </rcc>
  <rfmt sheetId="2" sqref="I22">
    <dxf>
      <fill>
        <patternFill>
          <bgColor theme="0"/>
        </patternFill>
      </fill>
    </dxf>
  </rfmt>
  <rcc rId="609" sId="2" numFmtId="4">
    <oc r="I77">
      <v>10</v>
    </oc>
    <nc r="I77">
      <f>ROUND(I76*18%,0)</f>
    </nc>
  </rcc>
  <rfmt sheetId="2" sqref="I77">
    <dxf>
      <fill>
        <patternFill patternType="solid">
          <bgColor rgb="FF92D050"/>
        </patternFill>
      </fill>
    </dxf>
  </rfmt>
  <rfmt sheetId="2" sqref="C99:I99">
    <dxf>
      <fill>
        <patternFill>
          <bgColor rgb="FFFF0000"/>
        </patternFill>
      </fill>
    </dxf>
  </rfmt>
  <rcc rId="610" sId="2" odxf="1" dxf="1">
    <nc r="J99" t="inlineStr">
      <is>
        <t>формула</t>
      </is>
    </nc>
    <odxf/>
    <ndxf/>
  </rcc>
  <rcc rId="611" sId="2">
    <oc r="F103">
      <v>94</v>
    </oc>
    <nc r="F103">
      <f>F88-F97-F100-F101-F102-F77</f>
    </nc>
  </rcc>
  <rcc rId="612" sId="2">
    <oc r="D103">
      <f>D88-D97-D100-D101-D102-D77</f>
    </oc>
    <nc r="D103">
      <f>D88-D97-D100-D101-D102-D77</f>
    </nc>
  </rcc>
  <rcc rId="613" sId="2" numFmtId="4">
    <oc r="E103">
      <v>1648</v>
    </oc>
    <nc r="E103">
      <f>E88-E97-E100-E101-E102-E77</f>
    </nc>
  </rcc>
  <rcc rId="614" sId="2" numFmtId="4">
    <oc r="C103">
      <v>1787</v>
    </oc>
    <nc r="C103">
      <f>C88-C97-C100-C101-C102-C77</f>
    </nc>
  </rcc>
  <rfmt sheetId="2" sqref="F103">
    <dxf>
      <fill>
        <patternFill>
          <bgColor theme="0" tint="-0.249977111117893"/>
        </patternFill>
      </fill>
    </dxf>
  </rfmt>
  <rcc rId="615" sId="3" numFmtId="4">
    <oc r="G10">
      <v>13</v>
    </oc>
    <nc r="G10">
      <f>ROUND(('I. Фін результат'!G79-'ІІ. Розр. з бюджетом'!G9)*60%,0)</f>
    </nc>
  </rcc>
  <rcc rId="616" sId="3" numFmtId="4">
    <oc r="G9">
      <v>4</v>
    </oc>
    <nc r="G9">
      <f>ROUND('I. Фін результат'!G79*15%,0)</f>
    </nc>
  </rcc>
  <rfmt sheetId="3" sqref="G9:G10">
    <dxf>
      <fill>
        <patternFill>
          <bgColor rgb="FF92D050"/>
        </patternFill>
      </fill>
    </dxf>
  </rfmt>
  <rfmt sheetId="4" sqref="C12:C15">
    <dxf>
      <fill>
        <patternFill>
          <bgColor theme="0"/>
        </patternFill>
      </fill>
    </dxf>
  </rfmt>
  <rfmt sheetId="4" sqref="C18">
    <dxf>
      <fill>
        <patternFill>
          <bgColor theme="0"/>
        </patternFill>
      </fill>
    </dxf>
  </rfmt>
  <rcc rId="617" sId="4">
    <oc r="A40" t="inlineStr">
      <is>
        <r>
          <t xml:space="preserve">придбання </t>
        </r>
        <r>
          <rPr>
            <b/>
            <sz val="14"/>
            <rFont val="Times New Roman"/>
            <family val="1"/>
            <charset val="204"/>
          </rPr>
          <t xml:space="preserve"> (бортового причепу)</t>
        </r>
      </is>
    </oc>
    <nc r="A40" t="inlineStr">
      <is>
        <r>
          <t xml:space="preserve">придбання </t>
        </r>
        <r>
          <rPr>
            <b/>
            <sz val="14"/>
            <rFont val="Times New Roman"/>
            <family val="1"/>
            <charset val="204"/>
          </rPr>
          <t xml:space="preserve"> бортового причепу</t>
        </r>
      </is>
    </nc>
  </rcc>
  <rfmt sheetId="6" sqref="E1:E1048576">
    <dxf>
      <fill>
        <patternFill>
          <bgColor theme="0"/>
        </patternFill>
      </fill>
    </dxf>
  </rfmt>
  <rcc rId="618" sId="2">
    <oc r="E102">
      <v>246</v>
    </oc>
    <nc r="E102">
      <f>E16+E34+E53+31</f>
    </nc>
  </rcc>
  <rcc rId="619" sId="2" odxf="1" dxf="1" numFmtId="4">
    <oc r="D102">
      <v>299</v>
    </oc>
    <nc r="D102">
      <f>D16+D34+D53+31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20" sId="2" odxf="1" dxf="1" numFmtId="4">
    <oc r="D100">
      <v>4898</v>
    </oc>
    <nc r="D100">
      <f>D13+D32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21" sId="2" odxf="1" dxf="1" numFmtId="4">
    <oc r="D101">
      <v>1011</v>
    </oc>
    <nc r="D101">
      <f>D14+D33</f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622" sId="2" numFmtId="4">
    <oc r="C100">
      <v>4516</v>
    </oc>
    <nc r="C100">
      <f>C13+C32</f>
    </nc>
  </rcc>
  <rcc rId="623" sId="2" numFmtId="4">
    <oc r="C101">
      <v>934</v>
    </oc>
    <nc r="C101">
      <f>C14+C33</f>
    </nc>
  </rcc>
  <rfmt sheetId="2" sqref="C103:F103">
    <dxf>
      <fill>
        <patternFill>
          <bgColor rgb="FF92D050"/>
        </patternFill>
      </fill>
    </dxf>
  </rfmt>
  <rcv guid="{4BF2F851-A775-4F33-8DA4-C59D9D94DA9D}" action="delete"/>
  <rdn rId="0" localSheetId="1" customView="1" name="Z_4BF2F851_A775_4F33_8DA4_C59D9D94DA9D_.wvu.PrintArea" hidden="1" oldHidden="1">
    <formula>'Осн. фін. пок.'!$A$1:$J$87</formula>
    <oldFormula>'Осн. фін. пок.'!$A$1:$J$87</oldFormula>
  </rdn>
  <rdn rId="0" localSheetId="1" customView="1" name="Z_4BF2F851_A775_4F33_8DA4_C59D9D94DA9D_.wvu.PrintTitles" hidden="1" oldHidden="1">
    <formula>'Осн. фін. пок.'!$36:$36</formula>
    <oldFormula>'Осн. фін. пок.'!$36:$36</oldFormula>
  </rdn>
  <rdn rId="0" localSheetId="2" customView="1" name="Z_4BF2F851_A775_4F33_8DA4_C59D9D94DA9D_.wvu.PrintArea" hidden="1" oldHidden="1">
    <formula>'I. Фін результат'!$A$1:$J$110</formula>
    <oldFormula>'I. Фін результат'!$A$1:$J$110</oldFormula>
  </rdn>
  <rdn rId="0" localSheetId="2" customView="1" name="Z_4BF2F851_A775_4F33_8DA4_C59D9D94DA9D_.wvu.PrintTitles" hidden="1" oldHidden="1">
    <formula>'I. Фін результат'!$5:$5</formula>
    <oldFormula>'I. Фін результат'!$5:$5</oldFormula>
  </rdn>
  <rdn rId="0" localSheetId="3" customView="1" name="Z_4BF2F851_A775_4F33_8DA4_C59D9D94DA9D_.wvu.PrintArea" hidden="1" oldHidden="1">
    <formula>'ІІ. Розр. з бюджетом'!$A$1:$I$42</formula>
    <oldFormula>'ІІ. Розр. з бюджетом'!$A$1:$I$42</oldFormula>
  </rdn>
  <rdn rId="0" localSheetId="3" customView="1" name="Z_4BF2F851_A775_4F33_8DA4_C59D9D94DA9D_.wvu.PrintTitles" hidden="1" oldHidden="1">
    <formula>'ІІ. Розр. з бюджетом'!$5:$5</formula>
    <oldFormula>'ІІ. Розр. з бюджетом'!$5:$5</oldFormula>
  </rdn>
  <rdn rId="0" localSheetId="4" customView="1" name="Z_4BF2F851_A775_4F33_8DA4_C59D9D94DA9D_.wvu.PrintArea" hidden="1" oldHidden="1">
    <formula>'ІІІ. Рух грош. коштів'!$A$1:$I$85</formula>
    <oldFormula>'ІІІ. Рух грош. коштів'!$A$1:$I$85</oldFormula>
  </rdn>
  <rdn rId="0" localSheetId="4" customView="1" name="Z_4BF2F851_A775_4F33_8DA4_C59D9D94DA9D_.wvu.PrintTitles" hidden="1" oldHidden="1">
    <formula>'ІІІ. Рух грош. коштів'!$5:$5</formula>
    <oldFormula>'ІІІ. Рух грош. коштів'!$5:$5</oldFormula>
  </rdn>
  <rdn rId="0" localSheetId="5" customView="1" name="Z_4BF2F851_A775_4F33_8DA4_C59D9D94DA9D_.wvu.PrintArea" hidden="1" oldHidden="1">
    <formula>'IV. Кап. інвестиції'!$A$1:$I$16</formula>
    <oldFormula>'IV. Кап. інвестиції'!$A$1:$I$16</oldFormula>
  </rdn>
  <rdn rId="0" localSheetId="6" customView="1" name="Z_4BF2F851_A775_4F33_8DA4_C59D9D94DA9D_.wvu.PrintArea" hidden="1" oldHidden="1">
    <formula>' V. Коефіцієнти'!$A$1:$H$26</formula>
    <oldFormula>' V. Коефіцієнти'!$A$1:$H$26</oldFormula>
  </rdn>
  <rdn rId="0" localSheetId="6" customView="1" name="Z_4BF2F851_A775_4F33_8DA4_C59D9D94DA9D_.wvu.PrintTitles" hidden="1" oldHidden="1">
    <formula>' V. Коефіцієнти'!$5:$5</formula>
    <oldFormula>' V. Коефіцієнти'!$5:$5</oldFormula>
  </rdn>
  <rdn rId="0" localSheetId="7" customView="1" name="Z_4BF2F851_A775_4F33_8DA4_C59D9D94DA9D_.wvu.PrintArea" hidden="1" oldHidden="1">
    <formula>'6.1. Інша інфо_1'!$A$1:$O$81</formula>
    <oldFormula>'6.1. Інша інфо_1'!$A$1:$O$81</oldFormula>
  </rdn>
  <rdn rId="0" localSheetId="9" customView="1" name="Z_4BF2F851_A775_4F33_8DA4_C59D9D94DA9D_.wvu.PrintArea" hidden="1" oldHidden="1">
    <formula>'6.2. Інша інфо_2'!$A$1:$AE$54</formula>
    <oldFormula>'6.2. Інша інфо_2'!$A$1:$AE$54</oldFormula>
  </rdn>
  <rcv guid="{4BF2F851-A775-4F33-8DA4-C59D9D94DA9D}" action="add"/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9FC616C1-80F2-4774-ABC0-116B6AAFB5AD}" name="UserNEW" id="-131979935" dateTime="2021-02-26T09:04:43"/>
  <userInfo guid="{BAFF725C-9CE5-47D0-A867-71D674698536}" name="UserNEW" id="-131930165" dateTime="2021-03-03T13:35:4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J255"/>
  <sheetViews>
    <sheetView view="pageBreakPreview" topLeftCell="A52" zoomScale="90" zoomScaleNormal="75" zoomScaleSheetLayoutView="80" workbookViewId="0">
      <selection activeCell="G13" sqref="G13"/>
    </sheetView>
  </sheetViews>
  <sheetFormatPr defaultColWidth="9.140625" defaultRowHeight="18.75"/>
  <cols>
    <col min="1" max="1" width="44.7109375" style="2" customWidth="1"/>
    <col min="2" max="2" width="14.42578125" style="25" customWidth="1"/>
    <col min="3" max="3" width="16.85546875" style="25" customWidth="1"/>
    <col min="4" max="4" width="14.5703125" style="25" customWidth="1"/>
    <col min="5" max="5" width="14.28515625" style="2" customWidth="1"/>
    <col min="6" max="6" width="13" style="2" customWidth="1"/>
    <col min="7" max="7" width="13.140625" style="2" customWidth="1"/>
    <col min="8" max="9" width="13.42578125" style="2" customWidth="1"/>
    <col min="10" max="10" width="13.140625" style="2" customWidth="1"/>
    <col min="11" max="11" width="9.5703125" style="2" customWidth="1"/>
    <col min="12" max="13" width="9.140625" style="2"/>
    <col min="14" max="14" width="10.5703125" style="2" customWidth="1"/>
    <col min="15" max="16384" width="9.140625" style="2"/>
  </cols>
  <sheetData>
    <row r="1" spans="1:10">
      <c r="A1" s="108"/>
      <c r="B1" s="109"/>
      <c r="C1" s="109"/>
      <c r="D1" s="109"/>
      <c r="E1" s="108"/>
      <c r="F1" s="108"/>
      <c r="G1" s="108"/>
      <c r="H1" s="108"/>
      <c r="I1" s="108"/>
      <c r="J1" s="108"/>
    </row>
    <row r="2" spans="1:10" ht="18.75" customHeight="1">
      <c r="A2" s="355" t="s">
        <v>375</v>
      </c>
      <c r="B2" s="355"/>
      <c r="C2" s="111"/>
      <c r="D2" s="112"/>
      <c r="E2" s="357" t="s">
        <v>460</v>
      </c>
      <c r="F2" s="357"/>
      <c r="G2" s="357"/>
      <c r="H2" s="357"/>
      <c r="I2" s="357"/>
      <c r="J2" s="357"/>
    </row>
    <row r="3" spans="1:10" ht="40.5" customHeight="1">
      <c r="A3" s="356" t="s">
        <v>559</v>
      </c>
      <c r="B3" s="356"/>
      <c r="C3" s="111"/>
      <c r="D3" s="114"/>
      <c r="E3" s="357"/>
      <c r="F3" s="357"/>
      <c r="G3" s="357"/>
      <c r="H3" s="357"/>
      <c r="I3" s="357"/>
      <c r="J3" s="357"/>
    </row>
    <row r="4" spans="1:10" ht="18.75" customHeight="1">
      <c r="A4" s="358" t="s">
        <v>560</v>
      </c>
      <c r="B4" s="359"/>
      <c r="C4" s="111"/>
      <c r="D4" s="114"/>
      <c r="E4" s="357"/>
      <c r="F4" s="357"/>
      <c r="G4" s="357"/>
      <c r="H4" s="357"/>
      <c r="I4" s="357"/>
      <c r="J4" s="357"/>
    </row>
    <row r="5" spans="1:10" ht="18.75" customHeight="1">
      <c r="A5" s="366" t="s">
        <v>376</v>
      </c>
      <c r="B5" s="366"/>
      <c r="C5" s="111"/>
      <c r="D5" s="115"/>
      <c r="E5" s="367" t="s">
        <v>454</v>
      </c>
      <c r="F5" s="367"/>
      <c r="G5" s="367"/>
      <c r="H5" s="367"/>
      <c r="I5" s="367"/>
      <c r="J5" s="367"/>
    </row>
    <row r="6" spans="1:10" ht="44.25" customHeight="1">
      <c r="A6" s="366"/>
      <c r="B6" s="366"/>
      <c r="C6" s="111"/>
      <c r="D6" s="115"/>
      <c r="E6" s="368" t="s">
        <v>455</v>
      </c>
      <c r="F6" s="368"/>
      <c r="G6" s="368"/>
      <c r="H6" s="368"/>
      <c r="I6" s="368"/>
      <c r="J6" s="368"/>
    </row>
    <row r="7" spans="1:10" ht="18.75" customHeight="1">
      <c r="A7" s="116" t="s">
        <v>345</v>
      </c>
      <c r="B7" s="110"/>
      <c r="C7" s="111"/>
      <c r="D7" s="115"/>
      <c r="E7" s="369" t="s">
        <v>459</v>
      </c>
      <c r="F7" s="369"/>
      <c r="G7" s="369"/>
      <c r="H7" s="369"/>
      <c r="I7" s="369"/>
      <c r="J7" s="369"/>
    </row>
    <row r="8" spans="1:10" ht="18.75" customHeight="1">
      <c r="A8" s="110"/>
      <c r="B8" s="110"/>
      <c r="C8" s="111"/>
      <c r="D8" s="115"/>
      <c r="E8" s="357"/>
      <c r="F8" s="357"/>
      <c r="G8" s="357"/>
      <c r="H8" s="357"/>
      <c r="I8" s="357"/>
      <c r="J8" s="357"/>
    </row>
    <row r="9" spans="1:10" ht="20.25">
      <c r="A9" s="110"/>
      <c r="B9" s="110"/>
      <c r="C9" s="111"/>
      <c r="D9" s="115"/>
      <c r="E9" s="112"/>
      <c r="F9" s="112"/>
      <c r="G9" s="112"/>
      <c r="H9" s="112"/>
      <c r="I9" s="112"/>
      <c r="J9" s="112"/>
    </row>
    <row r="10" spans="1:10" ht="117" customHeight="1">
      <c r="A10" s="110"/>
      <c r="B10" s="110"/>
      <c r="C10" s="111"/>
      <c r="D10" s="115"/>
      <c r="E10" s="367" t="s">
        <v>562</v>
      </c>
      <c r="F10" s="367"/>
      <c r="G10" s="367"/>
      <c r="H10" s="367"/>
      <c r="I10" s="367"/>
      <c r="J10" s="367"/>
    </row>
    <row r="11" spans="1:10" ht="20.25" customHeight="1">
      <c r="A11" s="110"/>
      <c r="B11" s="110"/>
      <c r="C11" s="111"/>
      <c r="D11" s="115"/>
      <c r="E11" s="334" t="s">
        <v>561</v>
      </c>
      <c r="F11" s="334"/>
      <c r="G11" s="336"/>
      <c r="H11" s="336"/>
      <c r="I11" s="336"/>
      <c r="J11" s="336"/>
    </row>
    <row r="12" spans="1:10" ht="19.5" customHeight="1">
      <c r="A12" s="110"/>
      <c r="B12" s="110"/>
      <c r="C12" s="111"/>
      <c r="D12" s="115"/>
      <c r="E12" s="112"/>
      <c r="F12" s="112"/>
      <c r="G12" s="228"/>
      <c r="H12" s="227"/>
      <c r="I12" s="227"/>
      <c r="J12" s="227"/>
    </row>
    <row r="13" spans="1:10" ht="19.5" customHeight="1">
      <c r="A13" s="112"/>
      <c r="B13" s="117"/>
      <c r="C13" s="117"/>
      <c r="D13" s="117"/>
      <c r="E13" s="117"/>
      <c r="F13" s="117"/>
      <c r="G13" s="118"/>
      <c r="H13" s="118"/>
      <c r="I13" s="118"/>
      <c r="J13" s="118"/>
    </row>
    <row r="14" spans="1:10" ht="19.5" customHeight="1">
      <c r="A14" s="119"/>
      <c r="B14" s="360"/>
      <c r="C14" s="360"/>
      <c r="D14" s="360"/>
      <c r="E14" s="120"/>
      <c r="F14" s="120"/>
      <c r="G14" s="121"/>
      <c r="H14" s="211"/>
      <c r="I14" s="335" t="s">
        <v>538</v>
      </c>
      <c r="J14" s="123" t="s">
        <v>260</v>
      </c>
    </row>
    <row r="15" spans="1:10" ht="16.5" customHeight="1">
      <c r="A15" s="124" t="s">
        <v>14</v>
      </c>
      <c r="B15" s="338" t="s">
        <v>431</v>
      </c>
      <c r="C15" s="338"/>
      <c r="D15" s="338"/>
      <c r="E15" s="120"/>
      <c r="F15" s="120"/>
      <c r="G15" s="125"/>
      <c r="H15" s="126"/>
      <c r="I15" s="187" t="s">
        <v>145</v>
      </c>
      <c r="J15" s="209" t="s">
        <v>425</v>
      </c>
    </row>
    <row r="16" spans="1:10" ht="16.5" customHeight="1">
      <c r="A16" s="124" t="s">
        <v>15</v>
      </c>
      <c r="B16" s="338" t="s">
        <v>427</v>
      </c>
      <c r="C16" s="338"/>
      <c r="D16" s="338"/>
      <c r="E16" s="120"/>
      <c r="F16" s="120"/>
      <c r="G16" s="121"/>
      <c r="H16" s="122"/>
      <c r="I16" s="187" t="s">
        <v>144</v>
      </c>
      <c r="J16" s="188">
        <v>150</v>
      </c>
    </row>
    <row r="17" spans="1:10" ht="18.75" customHeight="1">
      <c r="A17" s="124" t="s">
        <v>19</v>
      </c>
      <c r="B17" s="338" t="s">
        <v>456</v>
      </c>
      <c r="C17" s="338"/>
      <c r="D17" s="338"/>
      <c r="E17" s="189"/>
      <c r="F17" s="120"/>
      <c r="G17" s="121"/>
      <c r="H17" s="122"/>
      <c r="I17" s="187" t="s">
        <v>143</v>
      </c>
      <c r="J17" s="188">
        <v>1210136900</v>
      </c>
    </row>
    <row r="18" spans="1:10" ht="19.5" customHeight="1">
      <c r="A18" s="124" t="s">
        <v>377</v>
      </c>
      <c r="B18" s="360"/>
      <c r="C18" s="360"/>
      <c r="D18" s="360"/>
      <c r="E18" s="360"/>
      <c r="F18" s="360"/>
      <c r="G18" s="360"/>
      <c r="H18" s="361"/>
      <c r="I18" s="187" t="s">
        <v>9</v>
      </c>
      <c r="J18" s="188"/>
    </row>
    <row r="19" spans="1:10" ht="18" customHeight="1">
      <c r="A19" s="124" t="s">
        <v>17</v>
      </c>
      <c r="B19" s="360"/>
      <c r="C19" s="360"/>
      <c r="D19" s="360"/>
      <c r="E19" s="120"/>
      <c r="F19" s="120"/>
      <c r="G19" s="125"/>
      <c r="H19" s="126"/>
      <c r="I19" s="187" t="s">
        <v>8</v>
      </c>
      <c r="J19" s="188">
        <v>91700</v>
      </c>
    </row>
    <row r="20" spans="1:10" ht="21" customHeight="1">
      <c r="A20" s="124" t="s">
        <v>16</v>
      </c>
      <c r="B20" s="338" t="s">
        <v>428</v>
      </c>
      <c r="C20" s="338"/>
      <c r="D20" s="338"/>
      <c r="E20" s="120"/>
      <c r="F20" s="120"/>
      <c r="G20" s="125"/>
      <c r="H20" s="127"/>
      <c r="I20" s="207" t="s">
        <v>10</v>
      </c>
      <c r="J20" s="188" t="s">
        <v>426</v>
      </c>
    </row>
    <row r="21" spans="1:10" ht="20.25" customHeight="1">
      <c r="A21" s="362" t="s">
        <v>378</v>
      </c>
      <c r="B21" s="360"/>
      <c r="C21" s="360"/>
      <c r="D21" s="360"/>
      <c r="E21" s="120"/>
      <c r="F21" s="120"/>
      <c r="G21" s="360" t="s">
        <v>205</v>
      </c>
      <c r="H21" s="363"/>
      <c r="I21" s="364"/>
      <c r="J21" s="208"/>
    </row>
    <row r="22" spans="1:10" ht="18.75" customHeight="1">
      <c r="A22" s="124" t="s">
        <v>20</v>
      </c>
      <c r="B22" s="338" t="s">
        <v>429</v>
      </c>
      <c r="C22" s="338"/>
      <c r="D22" s="338"/>
      <c r="E22" s="120"/>
      <c r="F22" s="120"/>
      <c r="G22" s="360" t="s">
        <v>206</v>
      </c>
      <c r="H22" s="363"/>
      <c r="I22" s="364"/>
      <c r="J22" s="208"/>
    </row>
    <row r="23" spans="1:10" ht="18" customHeight="1">
      <c r="A23" s="372" t="s">
        <v>529</v>
      </c>
      <c r="B23" s="338"/>
      <c r="C23" s="338"/>
      <c r="D23" s="338"/>
      <c r="E23" s="120"/>
      <c r="F23" s="120"/>
      <c r="G23" s="125"/>
      <c r="H23" s="125"/>
      <c r="I23" s="125"/>
      <c r="J23" s="126"/>
    </row>
    <row r="24" spans="1:10" ht="18.75" customHeight="1">
      <c r="A24" s="124" t="s">
        <v>11</v>
      </c>
      <c r="B24" s="338" t="s">
        <v>457</v>
      </c>
      <c r="C24" s="338"/>
      <c r="D24" s="338"/>
      <c r="E24" s="338"/>
      <c r="F24" s="189"/>
      <c r="G24" s="210"/>
      <c r="H24" s="121"/>
      <c r="I24" s="121"/>
      <c r="J24" s="122"/>
    </row>
    <row r="25" spans="1:10" ht="18" customHeight="1">
      <c r="A25" s="124" t="s">
        <v>12</v>
      </c>
      <c r="B25" s="338" t="s">
        <v>518</v>
      </c>
      <c r="C25" s="338"/>
      <c r="D25" s="338"/>
      <c r="E25" s="120"/>
      <c r="F25" s="120"/>
      <c r="G25" s="125"/>
      <c r="H25" s="125"/>
      <c r="I25" s="125"/>
      <c r="J25" s="126"/>
    </row>
    <row r="26" spans="1:10" ht="21" customHeight="1">
      <c r="A26" s="124" t="s">
        <v>13</v>
      </c>
      <c r="B26" s="338" t="s">
        <v>430</v>
      </c>
      <c r="C26" s="338"/>
      <c r="D26" s="338"/>
      <c r="E26" s="120"/>
      <c r="F26" s="120"/>
      <c r="G26" s="121"/>
      <c r="H26" s="121"/>
      <c r="I26" s="121"/>
      <c r="J26" s="122"/>
    </row>
    <row r="27" spans="1:10" ht="20.100000000000001" customHeight="1">
      <c r="B27" s="2"/>
      <c r="C27" s="2"/>
      <c r="D27" s="2"/>
    </row>
    <row r="28" spans="1:10" ht="19.5" customHeight="1">
      <c r="A28" s="66"/>
      <c r="B28" s="2"/>
      <c r="D28" s="2"/>
    </row>
    <row r="29" spans="1:10">
      <c r="A29" s="365" t="s">
        <v>539</v>
      </c>
      <c r="B29" s="365"/>
      <c r="C29" s="365"/>
      <c r="D29" s="365"/>
      <c r="E29" s="365"/>
      <c r="F29" s="365"/>
      <c r="G29" s="365"/>
      <c r="H29" s="365"/>
      <c r="I29" s="365"/>
      <c r="J29" s="365"/>
    </row>
    <row r="30" spans="1:10" ht="9" customHeight="1">
      <c r="A30" s="190"/>
      <c r="B30" s="190"/>
      <c r="C30" s="190"/>
      <c r="D30" s="190"/>
      <c r="E30" s="190"/>
      <c r="F30" s="190"/>
      <c r="G30" s="190"/>
      <c r="H30" s="190"/>
      <c r="I30" s="190"/>
      <c r="J30" s="190"/>
    </row>
    <row r="31" spans="1:10">
      <c r="A31" s="365" t="s">
        <v>219</v>
      </c>
      <c r="B31" s="365"/>
      <c r="C31" s="365"/>
      <c r="D31" s="365"/>
      <c r="E31" s="365"/>
      <c r="F31" s="365"/>
      <c r="G31" s="365"/>
      <c r="H31" s="365"/>
      <c r="I31" s="365"/>
      <c r="J31" s="365"/>
    </row>
    <row r="32" spans="1:10" ht="12" customHeight="1">
      <c r="A32" s="191"/>
      <c r="B32" s="192"/>
      <c r="C32" s="193"/>
      <c r="D32" s="192"/>
      <c r="E32" s="192"/>
      <c r="F32" s="192"/>
      <c r="G32" s="192"/>
      <c r="H32" s="192"/>
      <c r="I32" s="192"/>
      <c r="J32" s="192"/>
    </row>
    <row r="33" spans="1:10" ht="41.25" customHeight="1">
      <c r="A33" s="342" t="s">
        <v>271</v>
      </c>
      <c r="B33" s="343" t="s">
        <v>18</v>
      </c>
      <c r="C33" s="350" t="s">
        <v>31</v>
      </c>
      <c r="D33" s="350" t="s">
        <v>39</v>
      </c>
      <c r="E33" s="343" t="s">
        <v>148</v>
      </c>
      <c r="F33" s="373" t="s">
        <v>180</v>
      </c>
      <c r="G33" s="344" t="s">
        <v>272</v>
      </c>
      <c r="H33" s="345"/>
      <c r="I33" s="345"/>
      <c r="J33" s="346"/>
    </row>
    <row r="34" spans="1:10" ht="54.75" customHeight="1">
      <c r="A34" s="342"/>
      <c r="B34" s="343"/>
      <c r="C34" s="351"/>
      <c r="D34" s="351"/>
      <c r="E34" s="343"/>
      <c r="F34" s="374"/>
      <c r="G34" s="97" t="s">
        <v>264</v>
      </c>
      <c r="H34" s="97" t="s">
        <v>265</v>
      </c>
      <c r="I34" s="97" t="s">
        <v>266</v>
      </c>
      <c r="J34" s="97" t="s">
        <v>353</v>
      </c>
    </row>
    <row r="35" spans="1:10" ht="20.100000000000001" customHeight="1">
      <c r="A35" s="96">
        <v>1</v>
      </c>
      <c r="B35" s="97">
        <v>2</v>
      </c>
      <c r="C35" s="97">
        <v>3</v>
      </c>
      <c r="D35" s="97">
        <v>4</v>
      </c>
      <c r="E35" s="97">
        <v>5</v>
      </c>
      <c r="F35" s="97">
        <v>6</v>
      </c>
      <c r="G35" s="97">
        <v>7</v>
      </c>
      <c r="H35" s="97">
        <v>8</v>
      </c>
      <c r="I35" s="97">
        <v>9</v>
      </c>
      <c r="J35" s="97">
        <v>10</v>
      </c>
    </row>
    <row r="36" spans="1:10" ht="24.95" customHeight="1">
      <c r="A36" s="347" t="s">
        <v>108</v>
      </c>
      <c r="B36" s="347"/>
      <c r="C36" s="347"/>
      <c r="D36" s="347"/>
      <c r="E36" s="347"/>
      <c r="F36" s="347"/>
      <c r="G36" s="347"/>
      <c r="H36" s="347"/>
      <c r="I36" s="347"/>
      <c r="J36" s="347"/>
    </row>
    <row r="37" spans="1:10" ht="37.5">
      <c r="A37" s="98" t="s">
        <v>220</v>
      </c>
      <c r="B37" s="96">
        <f>'I. Фін результат'!B7</f>
        <v>1000</v>
      </c>
      <c r="C37" s="180">
        <f>'I. Фін результат'!C7</f>
        <v>2627</v>
      </c>
      <c r="D37" s="180">
        <f>'I. Фін результат'!D7</f>
        <v>2430</v>
      </c>
      <c r="E37" s="180">
        <f>'I. Фін результат'!I7</f>
        <v>2050</v>
      </c>
      <c r="F37" s="180">
        <f>'I. Фін результат'!E7</f>
        <v>2111</v>
      </c>
      <c r="G37" s="194">
        <f>ROUND(E37*106.2%,0)</f>
        <v>2177</v>
      </c>
      <c r="H37" s="194">
        <f>ROUND(G37*105.3%,0)</f>
        <v>2292</v>
      </c>
      <c r="I37" s="194">
        <f t="shared" ref="I37:J38" si="0">ROUND(H37*105.3%,0)</f>
        <v>2413</v>
      </c>
      <c r="J37" s="194">
        <f t="shared" si="0"/>
        <v>2541</v>
      </c>
    </row>
    <row r="38" spans="1:10" ht="37.5">
      <c r="A38" s="98" t="s">
        <v>188</v>
      </c>
      <c r="B38" s="96">
        <f>'I. Фін результат'!B9</f>
        <v>1010</v>
      </c>
      <c r="C38" s="180">
        <f>'I. Фін результат'!C9</f>
        <v>6625</v>
      </c>
      <c r="D38" s="180">
        <f>'I. Фін результат'!D9</f>
        <v>6510</v>
      </c>
      <c r="E38" s="180">
        <f>'I. Фін результат'!I9</f>
        <v>5792</v>
      </c>
      <c r="F38" s="180">
        <f>'I. Фін результат'!E9</f>
        <v>5825</v>
      </c>
      <c r="G38" s="194">
        <f>ROUND(E38*106.2%,0)</f>
        <v>6151</v>
      </c>
      <c r="H38" s="194">
        <f>ROUND(G38*105.3%,0)</f>
        <v>6477</v>
      </c>
      <c r="I38" s="194">
        <f t="shared" si="0"/>
        <v>6820</v>
      </c>
      <c r="J38" s="194">
        <f t="shared" si="0"/>
        <v>7181</v>
      </c>
    </row>
    <row r="39" spans="1:10" ht="20.100000000000001" customHeight="1">
      <c r="A39" s="100" t="s">
        <v>303</v>
      </c>
      <c r="B39" s="96">
        <f>'I. Фін результат'!B19</f>
        <v>1020</v>
      </c>
      <c r="C39" s="180">
        <f>'I. Фін результат'!C19</f>
        <v>-3998</v>
      </c>
      <c r="D39" s="180">
        <f>'I. Фін результат'!D19</f>
        <v>-4080</v>
      </c>
      <c r="E39" s="180">
        <f>'I. Фін результат'!I19</f>
        <v>-3742</v>
      </c>
      <c r="F39" s="180">
        <f>'I. Фін результат'!E19</f>
        <v>-3714</v>
      </c>
      <c r="G39" s="180">
        <f>G37-G38</f>
        <v>-3974</v>
      </c>
      <c r="H39" s="180">
        <f>H37-H38</f>
        <v>-4185</v>
      </c>
      <c r="I39" s="180">
        <f>I37-I38</f>
        <v>-4407</v>
      </c>
      <c r="J39" s="180">
        <f>J37-J38</f>
        <v>-4640</v>
      </c>
    </row>
    <row r="40" spans="1:10" ht="20.100000000000001" customHeight="1">
      <c r="A40" s="98" t="s">
        <v>153</v>
      </c>
      <c r="B40" s="96">
        <f>'I. Фін результат'!B24</f>
        <v>1040</v>
      </c>
      <c r="C40" s="180">
        <f>'I. Фін результат'!C24</f>
        <v>2231</v>
      </c>
      <c r="D40" s="180">
        <f>'I. Фін результат'!D24</f>
        <v>2898</v>
      </c>
      <c r="E40" s="180">
        <f>'I. Фін результат'!I24</f>
        <v>2949</v>
      </c>
      <c r="F40" s="180">
        <f>'I. Фін результат'!E24</f>
        <v>2896</v>
      </c>
      <c r="G40" s="194">
        <f>ROUND(E40*106.2%,0)</f>
        <v>3132</v>
      </c>
      <c r="H40" s="194">
        <f>ROUND(G40*105.3%,0)</f>
        <v>3298</v>
      </c>
      <c r="I40" s="194">
        <f t="shared" ref="I40:J42" si="1">ROUND(H40*105.3%,0)</f>
        <v>3473</v>
      </c>
      <c r="J40" s="194">
        <f t="shared" si="1"/>
        <v>3657</v>
      </c>
    </row>
    <row r="41" spans="1:10" ht="20.100000000000001" customHeight="1">
      <c r="A41" s="98" t="s">
        <v>150</v>
      </c>
      <c r="B41" s="96">
        <f>'I. Фін результат'!B49</f>
        <v>1070</v>
      </c>
      <c r="C41" s="180">
        <f>'I. Фін результат'!C49</f>
        <v>0</v>
      </c>
      <c r="D41" s="180">
        <f>'I. Фін результат'!D49</f>
        <v>0</v>
      </c>
      <c r="E41" s="180">
        <f>'I. Фін результат'!I49</f>
        <v>0</v>
      </c>
      <c r="F41" s="180">
        <f>'I. Фін результат'!E49</f>
        <v>0</v>
      </c>
      <c r="G41" s="194">
        <f>ROUND(E41*106.2%,0)</f>
        <v>0</v>
      </c>
      <c r="H41" s="194">
        <f>ROUND(G41*105.3%,0)</f>
        <v>0</v>
      </c>
      <c r="I41" s="194">
        <f t="shared" ref="I41:J41" si="2">ROUND(H41*105.3%,0)</f>
        <v>0</v>
      </c>
      <c r="J41" s="194">
        <f t="shared" si="2"/>
        <v>0</v>
      </c>
    </row>
    <row r="42" spans="1:10" ht="20.100000000000001" customHeight="1">
      <c r="A42" s="98" t="s">
        <v>154</v>
      </c>
      <c r="B42" s="96">
        <f>'I. Фін результат'!B84</f>
        <v>1300</v>
      </c>
      <c r="C42" s="180">
        <f>'I. Фін результат'!C84</f>
        <v>6274</v>
      </c>
      <c r="D42" s="180">
        <f>'I. Фін результат'!D84</f>
        <v>6717</v>
      </c>
      <c r="E42" s="180">
        <f>'I. Фін результат'!I84</f>
        <v>6418</v>
      </c>
      <c r="F42" s="180">
        <f>'I. Фін результат'!E84</f>
        <v>6396</v>
      </c>
      <c r="G42" s="194">
        <f>ROUND(E42*106.2%,0)</f>
        <v>6816</v>
      </c>
      <c r="H42" s="194">
        <f>ROUND(G42*105.3%,0)</f>
        <v>7177</v>
      </c>
      <c r="I42" s="194">
        <f t="shared" si="1"/>
        <v>7557</v>
      </c>
      <c r="J42" s="194">
        <f t="shared" si="1"/>
        <v>7958</v>
      </c>
    </row>
    <row r="43" spans="1:10" ht="37.5">
      <c r="A43" s="101" t="s">
        <v>4</v>
      </c>
      <c r="B43" s="96">
        <f>'I. Фін результат'!B65</f>
        <v>1100</v>
      </c>
      <c r="C43" s="180">
        <f>'I. Фін результат'!C65</f>
        <v>45</v>
      </c>
      <c r="D43" s="180">
        <f>'I. Фін результат'!D65</f>
        <v>-261</v>
      </c>
      <c r="E43" s="180">
        <f>'I. Фін результат'!I65</f>
        <v>-273</v>
      </c>
      <c r="F43" s="180">
        <f>'I. Фін результат'!E65</f>
        <v>-214</v>
      </c>
      <c r="G43" s="180">
        <f>G39-G40-G41+G42</f>
        <v>-290</v>
      </c>
      <c r="H43" s="180">
        <f>H39-H40-H41+H42</f>
        <v>-306</v>
      </c>
      <c r="I43" s="180">
        <f>I39-I40-I41+I42</f>
        <v>-323</v>
      </c>
      <c r="J43" s="180">
        <f>J39-J40-J41+J42</f>
        <v>-339</v>
      </c>
    </row>
    <row r="44" spans="1:10" ht="20.100000000000001" customHeight="1">
      <c r="A44" s="101" t="s">
        <v>155</v>
      </c>
      <c r="B44" s="96">
        <f>'I. Фін результат'!B95</f>
        <v>1410</v>
      </c>
      <c r="C44" s="180">
        <f>'I. Фін результат'!C95</f>
        <v>338</v>
      </c>
      <c r="D44" s="180">
        <f>'I. Фін результат'!D95</f>
        <v>38</v>
      </c>
      <c r="E44" s="180">
        <f>'I. Фін результат'!I95</f>
        <v>26</v>
      </c>
      <c r="F44" s="180">
        <f>'I. Фін результат'!E95</f>
        <v>85</v>
      </c>
      <c r="G44" s="194">
        <f>ROUND(E44*106.2%,0)</f>
        <v>28</v>
      </c>
      <c r="H44" s="194">
        <f>ROUND(G44*105.3%,0)</f>
        <v>29</v>
      </c>
      <c r="I44" s="194">
        <f t="shared" ref="I44:J44" si="3">ROUND(H44*105.3%,0)</f>
        <v>31</v>
      </c>
      <c r="J44" s="194">
        <f t="shared" si="3"/>
        <v>33</v>
      </c>
    </row>
    <row r="45" spans="1:10" ht="20.100000000000001" customHeight="1">
      <c r="A45" s="102" t="s">
        <v>242</v>
      </c>
      <c r="B45" s="96">
        <f>' V. Коефіцієнти'!B8</f>
        <v>5010</v>
      </c>
      <c r="C45" s="180">
        <f>' V. Коефіцієнти'!D8</f>
        <v>12.866387514274837</v>
      </c>
      <c r="D45" s="180">
        <f>D44*100/D37</f>
        <v>1.5637860082304527</v>
      </c>
      <c r="E45" s="180">
        <f>' V. Коефіцієнти'!G8</f>
        <v>1.2682926829268293</v>
      </c>
      <c r="F45" s="180">
        <f>' V. Коефіцієнти'!F8</f>
        <v>4.0265277119848415</v>
      </c>
      <c r="G45" s="194">
        <f>ROUND(E45*106.2%,0)</f>
        <v>1</v>
      </c>
      <c r="H45" s="194">
        <f>ROUND(G45*105.3%,0)</f>
        <v>1</v>
      </c>
      <c r="I45" s="194">
        <f t="shared" ref="I45:J45" si="4">ROUND(H45*105.3%,0)</f>
        <v>1</v>
      </c>
      <c r="J45" s="194">
        <f t="shared" si="4"/>
        <v>1</v>
      </c>
    </row>
    <row r="46" spans="1:10" ht="37.5">
      <c r="A46" s="102" t="s">
        <v>156</v>
      </c>
      <c r="B46" s="96">
        <f>'I. Фін результат'!B85</f>
        <v>1310</v>
      </c>
      <c r="C46" s="180">
        <f>'I. Фін результат'!C85</f>
        <v>0</v>
      </c>
      <c r="D46" s="180">
        <f>'I. Фін результат'!D85</f>
        <v>0</v>
      </c>
      <c r="E46" s="180">
        <f>'I. Фін результат'!I85</f>
        <v>0</v>
      </c>
      <c r="F46" s="180">
        <f>'I. Фін результат'!E85</f>
        <v>0</v>
      </c>
      <c r="G46" s="194">
        <f>ROUND(E46*106.2%,0)</f>
        <v>0</v>
      </c>
      <c r="H46" s="194">
        <f>ROUND(G46*105.3%,0)</f>
        <v>0</v>
      </c>
      <c r="I46" s="194">
        <f t="shared" ref="I46:J47" si="5">ROUND(H46*105.3%,0)</f>
        <v>0</v>
      </c>
      <c r="J46" s="194">
        <f t="shared" si="5"/>
        <v>0</v>
      </c>
    </row>
    <row r="47" spans="1:10" ht="20.100000000000001" customHeight="1">
      <c r="A47" s="98" t="s">
        <v>247</v>
      </c>
      <c r="B47" s="96">
        <f>'I. Фін результат'!B86</f>
        <v>1320</v>
      </c>
      <c r="C47" s="180">
        <f>'I. Фін результат'!C86</f>
        <v>0</v>
      </c>
      <c r="D47" s="180">
        <f>'I. Фін результат'!D86</f>
        <v>316</v>
      </c>
      <c r="E47" s="180">
        <f>'I. Фін результат'!I86</f>
        <v>316</v>
      </c>
      <c r="F47" s="180">
        <f>'I. Фін результат'!E86</f>
        <v>246</v>
      </c>
      <c r="G47" s="194">
        <f>ROUND(E47*106.2%,0)</f>
        <v>336</v>
      </c>
      <c r="H47" s="194">
        <f>ROUND(G47*105.3%,0)</f>
        <v>354</v>
      </c>
      <c r="I47" s="194">
        <f t="shared" si="5"/>
        <v>373</v>
      </c>
      <c r="J47" s="194">
        <f t="shared" si="5"/>
        <v>393</v>
      </c>
    </row>
    <row r="48" spans="1:10" ht="37.5">
      <c r="A48" s="101" t="s">
        <v>106</v>
      </c>
      <c r="B48" s="96">
        <f>'I. Фін результат'!B76</f>
        <v>1170</v>
      </c>
      <c r="C48" s="180">
        <f>'I. Фін результат'!C76</f>
        <v>45</v>
      </c>
      <c r="D48" s="180">
        <f>'I. Фін результат'!D76</f>
        <v>55</v>
      </c>
      <c r="E48" s="180">
        <f>'I. Фін результат'!I76</f>
        <v>43</v>
      </c>
      <c r="F48" s="180">
        <f>'I. Фін результат'!E76</f>
        <v>32</v>
      </c>
      <c r="G48" s="180">
        <f>G43+G46+G47</f>
        <v>46</v>
      </c>
      <c r="H48" s="180">
        <f>H43+H46+H47</f>
        <v>48</v>
      </c>
      <c r="I48" s="180">
        <f>I43+I46+I47</f>
        <v>50</v>
      </c>
      <c r="J48" s="180">
        <f>J43+J46+J47</f>
        <v>54</v>
      </c>
    </row>
    <row r="49" spans="1:10" ht="20.100000000000001" customHeight="1">
      <c r="A49" s="102" t="s">
        <v>151</v>
      </c>
      <c r="B49" s="96">
        <f>'I. Фін результат'!B77</f>
        <v>1180</v>
      </c>
      <c r="C49" s="180">
        <f>'I. Фін результат'!C77</f>
        <v>8</v>
      </c>
      <c r="D49" s="180">
        <f>'I. Фін результат'!D77</f>
        <v>10</v>
      </c>
      <c r="E49" s="180">
        <f>'I. Фін результат'!I77</f>
        <v>8</v>
      </c>
      <c r="F49" s="180">
        <f>'I. Фін результат'!E77</f>
        <v>10</v>
      </c>
      <c r="G49" s="194">
        <f>ROUND(G48*18%,0)</f>
        <v>8</v>
      </c>
      <c r="H49" s="194">
        <f t="shared" ref="H49:J49" si="6">ROUND(H48*18%,0)</f>
        <v>9</v>
      </c>
      <c r="I49" s="194">
        <f t="shared" si="6"/>
        <v>9</v>
      </c>
      <c r="J49" s="194">
        <f t="shared" si="6"/>
        <v>10</v>
      </c>
    </row>
    <row r="50" spans="1:10" ht="20.100000000000001" customHeight="1">
      <c r="A50" s="101" t="s">
        <v>243</v>
      </c>
      <c r="B50" s="96">
        <f>'I. Фін результат'!B79</f>
        <v>1200</v>
      </c>
      <c r="C50" s="180">
        <f>'I. Фін результат'!C79</f>
        <v>37</v>
      </c>
      <c r="D50" s="180">
        <f>'I. Фін результат'!D79</f>
        <v>45</v>
      </c>
      <c r="E50" s="180">
        <f>'I. Фін результат'!I79</f>
        <v>35</v>
      </c>
      <c r="F50" s="180">
        <f>'I. Фін результат'!E79</f>
        <v>22</v>
      </c>
      <c r="G50" s="180">
        <f>G48-G49</f>
        <v>38</v>
      </c>
      <c r="H50" s="180">
        <f>H48-H49</f>
        <v>39</v>
      </c>
      <c r="I50" s="180">
        <f>I48-I49</f>
        <v>41</v>
      </c>
      <c r="J50" s="180">
        <f>J48-J49</f>
        <v>44</v>
      </c>
    </row>
    <row r="51" spans="1:10" ht="20.100000000000001" customHeight="1">
      <c r="A51" s="102" t="s">
        <v>244</v>
      </c>
      <c r="B51" s="96">
        <f>' V. Коефіцієнти'!B11</f>
        <v>5040</v>
      </c>
      <c r="C51" s="180">
        <f>' V. Коефіцієнти'!D11</f>
        <v>1.4084507042253521E-2</v>
      </c>
      <c r="D51" s="180">
        <f>D50*100/D37</f>
        <v>1.8518518518518519</v>
      </c>
      <c r="E51" s="180">
        <f>' V. Коефіцієнти'!G11</f>
        <v>1.7073170731707318E-2</v>
      </c>
      <c r="F51" s="180">
        <f>' V. Коефіцієнти'!F11</f>
        <v>1.0421601136901942E-2</v>
      </c>
      <c r="G51" s="180">
        <f>G50/G37</f>
        <v>1.7455213596692696E-2</v>
      </c>
      <c r="H51" s="180">
        <f>H50/H37</f>
        <v>1.7015706806282723E-2</v>
      </c>
      <c r="I51" s="180">
        <f>I50/I37</f>
        <v>1.6991297140489019E-2</v>
      </c>
      <c r="J51" s="180">
        <f>J50/J37</f>
        <v>1.7316017316017316E-2</v>
      </c>
    </row>
    <row r="52" spans="1:10" ht="24.95" customHeight="1">
      <c r="A52" s="349" t="s">
        <v>168</v>
      </c>
      <c r="B52" s="349"/>
      <c r="C52" s="349"/>
      <c r="D52" s="349"/>
      <c r="E52" s="349"/>
      <c r="F52" s="349"/>
      <c r="G52" s="349"/>
      <c r="H52" s="349"/>
      <c r="I52" s="349"/>
      <c r="J52" s="349"/>
    </row>
    <row r="53" spans="1:10" ht="37.5">
      <c r="A53" s="103" t="s">
        <v>358</v>
      </c>
      <c r="B53" s="96">
        <f>'ІІ. Розр. з бюджетом'!B19</f>
        <v>2100</v>
      </c>
      <c r="C53" s="180">
        <f>'ІІ. Розр. з бюджетом'!C19</f>
        <v>0</v>
      </c>
      <c r="D53" s="180">
        <f>'ІІ. Розр. з бюджетом'!D19</f>
        <v>30</v>
      </c>
      <c r="E53" s="180">
        <f>'ІІ. Розр. з бюджетом'!I19</f>
        <v>23</v>
      </c>
      <c r="F53" s="180">
        <f>'ІІ. Розр. з бюджетом'!E19</f>
        <v>14</v>
      </c>
      <c r="G53" s="194">
        <f>ROUND(G50*66%,0)</f>
        <v>25</v>
      </c>
      <c r="H53" s="194">
        <f t="shared" ref="H53:J53" si="7">ROUND(H50*66%,0)</f>
        <v>26</v>
      </c>
      <c r="I53" s="194">
        <f t="shared" si="7"/>
        <v>27</v>
      </c>
      <c r="J53" s="194">
        <f t="shared" si="7"/>
        <v>29</v>
      </c>
    </row>
    <row r="54" spans="1:10" ht="20.100000000000001" customHeight="1">
      <c r="A54" s="104" t="s">
        <v>167</v>
      </c>
      <c r="B54" s="96">
        <f>'ІІ. Розр. з бюджетом'!B22</f>
        <v>2110</v>
      </c>
      <c r="C54" s="180">
        <f>'ІІ. Розр. з бюджетом'!C22</f>
        <v>8</v>
      </c>
      <c r="D54" s="180">
        <f>'ІІ. Розр. з бюджетом'!D22</f>
        <v>10</v>
      </c>
      <c r="E54" s="180">
        <f>'ІІ. Розр. з бюджетом'!I22</f>
        <v>8</v>
      </c>
      <c r="F54" s="180">
        <f>'ІІ. Розр. з бюджетом'!E22</f>
        <v>10</v>
      </c>
      <c r="G54" s="194">
        <f>G49</f>
        <v>8</v>
      </c>
      <c r="H54" s="194">
        <f t="shared" ref="H54:J54" si="8">H49</f>
        <v>9</v>
      </c>
      <c r="I54" s="194">
        <f t="shared" si="8"/>
        <v>9</v>
      </c>
      <c r="J54" s="194">
        <f t="shared" si="8"/>
        <v>10</v>
      </c>
    </row>
    <row r="55" spans="1:10" ht="56.25">
      <c r="A55" s="104" t="s">
        <v>354</v>
      </c>
      <c r="B55" s="96" t="s">
        <v>245</v>
      </c>
      <c r="C55" s="180">
        <f>SUM('ІІ. Розр. з бюджетом'!C23,'ІІ. Розр. з бюджетом'!C24)</f>
        <v>-79</v>
      </c>
      <c r="D55" s="180">
        <f>SUM('ІІ. Розр. з бюджетом'!D23,'ІІ. Розр. з бюджетом'!D24)</f>
        <v>171</v>
      </c>
      <c r="E55" s="180">
        <f>'ІІ. Розр. з бюджетом'!I23+'ІІ. Розр. з бюджетом'!I24</f>
        <v>54</v>
      </c>
      <c r="F55" s="180">
        <f>SUM('ІІ. Розр. з бюджетом'!E23,'ІІ. Розр. з бюджетом'!E24)</f>
        <v>18</v>
      </c>
      <c r="G55" s="194">
        <f>ROUND(E55*106.2%,0)</f>
        <v>57</v>
      </c>
      <c r="H55" s="194">
        <f>ROUND(G55*105.3%,0)</f>
        <v>60</v>
      </c>
      <c r="I55" s="194">
        <f t="shared" ref="I55:J55" si="9">ROUND(H55*105.3%,0)</f>
        <v>63</v>
      </c>
      <c r="J55" s="194">
        <f t="shared" si="9"/>
        <v>66</v>
      </c>
    </row>
    <row r="56" spans="1:10" ht="56.25">
      <c r="A56" s="103" t="s">
        <v>359</v>
      </c>
      <c r="B56" s="96">
        <f>'ІІ. Розр. з бюджетом'!B25</f>
        <v>2140</v>
      </c>
      <c r="C56" s="180">
        <f>'ІІ. Розр. з бюджетом'!C25</f>
        <v>890</v>
      </c>
      <c r="D56" s="180">
        <f>'ІІ. Розр. з бюджетом'!D25</f>
        <v>964</v>
      </c>
      <c r="E56" s="180">
        <f>'ІІ. Розр. з бюджетом'!I25</f>
        <v>895</v>
      </c>
      <c r="F56" s="180">
        <f>'ІІ. Розр. з бюджетом'!E25</f>
        <v>959</v>
      </c>
      <c r="G56" s="194">
        <f t="shared" ref="G56:G57" si="10">ROUND(E56*106.2%,0)</f>
        <v>950</v>
      </c>
      <c r="H56" s="194">
        <f t="shared" ref="H56:J56" si="11">ROUND(G56*105.3%,0)</f>
        <v>1000</v>
      </c>
      <c r="I56" s="194">
        <f t="shared" si="11"/>
        <v>1053</v>
      </c>
      <c r="J56" s="194">
        <f t="shared" si="11"/>
        <v>1109</v>
      </c>
    </row>
    <row r="57" spans="1:10" ht="39" customHeight="1">
      <c r="A57" s="103" t="s">
        <v>90</v>
      </c>
      <c r="B57" s="96">
        <f>'ІІ. Розр. з бюджетом'!B37</f>
        <v>2150</v>
      </c>
      <c r="C57" s="180">
        <f>'ІІ. Розр. з бюджетом'!C37</f>
        <v>934</v>
      </c>
      <c r="D57" s="180">
        <f>'ІІ. Розр. з бюджетом'!D37</f>
        <v>1011</v>
      </c>
      <c r="E57" s="180">
        <f>'ІІ. Розр. з бюджетом'!I37</f>
        <v>936</v>
      </c>
      <c r="F57" s="180">
        <f>'ІІ. Розр. з бюджетом'!E37</f>
        <v>1011</v>
      </c>
      <c r="G57" s="194">
        <f t="shared" si="10"/>
        <v>994</v>
      </c>
      <c r="H57" s="194">
        <f t="shared" ref="H57:J57" si="12">ROUND(G57*105.3%,0)</f>
        <v>1047</v>
      </c>
      <c r="I57" s="194">
        <f t="shared" si="12"/>
        <v>1102</v>
      </c>
      <c r="J57" s="194">
        <f t="shared" si="12"/>
        <v>1160</v>
      </c>
    </row>
    <row r="58" spans="1:10" ht="20.100000000000001" customHeight="1">
      <c r="A58" s="105" t="s">
        <v>360</v>
      </c>
      <c r="B58" s="96">
        <f>'ІІ. Розр. з бюджетом'!B38</f>
        <v>2200</v>
      </c>
      <c r="C58" s="180">
        <f>'ІІ. Розр. з бюджетом'!C38</f>
        <v>1753</v>
      </c>
      <c r="D58" s="180">
        <f>'ІІ. Розр. з бюджетом'!D38</f>
        <v>2186</v>
      </c>
      <c r="E58" s="180">
        <f>'ІІ. Розр. з бюджетом'!I38</f>
        <v>1916</v>
      </c>
      <c r="F58" s="180">
        <f>'ІІ. Розр. з бюджетом'!E38</f>
        <v>2012</v>
      </c>
      <c r="G58" s="180">
        <f>SUM(G53:G57)</f>
        <v>2034</v>
      </c>
      <c r="H58" s="180">
        <f>SUM(H53:H57)</f>
        <v>2142</v>
      </c>
      <c r="I58" s="180">
        <f>SUM(I53:I57)</f>
        <v>2254</v>
      </c>
      <c r="J58" s="180">
        <f>SUM(J53:J57)</f>
        <v>2374</v>
      </c>
    </row>
    <row r="59" spans="1:10" ht="24.95" customHeight="1">
      <c r="A59" s="349" t="s">
        <v>166</v>
      </c>
      <c r="B59" s="349"/>
      <c r="C59" s="349"/>
      <c r="D59" s="349"/>
      <c r="E59" s="349"/>
      <c r="F59" s="349"/>
      <c r="G59" s="349"/>
      <c r="H59" s="349"/>
      <c r="I59" s="349"/>
      <c r="J59" s="349"/>
    </row>
    <row r="60" spans="1:10" ht="20.100000000000001" customHeight="1">
      <c r="A60" s="105" t="s">
        <v>157</v>
      </c>
      <c r="B60" s="96">
        <f>'ІІІ. Рух грош. коштів'!B77</f>
        <v>3600</v>
      </c>
      <c r="C60" s="180">
        <f>'ІІІ. Рух грош. коштів'!C77</f>
        <v>821</v>
      </c>
      <c r="D60" s="180">
        <f>'ІІІ. Рух грош. коштів'!D77</f>
        <v>332</v>
      </c>
      <c r="E60" s="180">
        <f>'ІІІ. Рух грош. коштів'!I77</f>
        <v>647</v>
      </c>
      <c r="F60" s="180">
        <f>'ІІІ. Рух грош. коштів'!E77</f>
        <v>343</v>
      </c>
      <c r="G60" s="180">
        <f>E65</f>
        <v>799</v>
      </c>
      <c r="H60" s="180">
        <f>G65</f>
        <v>961</v>
      </c>
      <c r="I60" s="180">
        <f>H65</f>
        <v>1132</v>
      </c>
      <c r="J60" s="180">
        <f>I65</f>
        <v>1312</v>
      </c>
    </row>
    <row r="61" spans="1:10" ht="37.5">
      <c r="A61" s="103" t="s">
        <v>158</v>
      </c>
      <c r="B61" s="96">
        <f>'ІІІ. Рух грош. коштів'!B27</f>
        <v>3090</v>
      </c>
      <c r="C61" s="180">
        <f>'ІІІ. Рух грош. коштів'!C27</f>
        <v>222</v>
      </c>
      <c r="D61" s="180">
        <f>'ІІІ. Рух грош. коштів'!D27</f>
        <v>344</v>
      </c>
      <c r="E61" s="180">
        <f>'ІІІ. Рух грош. коштів'!I27</f>
        <v>334</v>
      </c>
      <c r="F61" s="180">
        <f>'ІІІ. Рух грош. коштів'!E27</f>
        <v>443</v>
      </c>
      <c r="G61" s="194">
        <f>ROUND(E61*106.2%,0)</f>
        <v>355</v>
      </c>
      <c r="H61" s="194">
        <f>ROUND(G61*105.3%,0)</f>
        <v>374</v>
      </c>
      <c r="I61" s="194">
        <f t="shared" ref="I61:J61" si="13">ROUND(H61*105.3%,0)</f>
        <v>394</v>
      </c>
      <c r="J61" s="194">
        <f t="shared" si="13"/>
        <v>415</v>
      </c>
    </row>
    <row r="62" spans="1:10" ht="37.5">
      <c r="A62" s="103" t="s">
        <v>248</v>
      </c>
      <c r="B62" s="96">
        <f>'ІІІ. Рух грош. коштів'!B47</f>
        <v>3320</v>
      </c>
      <c r="C62" s="180">
        <f>'ІІІ. Рух грош. коштів'!C47</f>
        <v>-1056</v>
      </c>
      <c r="D62" s="180">
        <f>'ІІІ. Рух грош. коштів'!D47</f>
        <v>-179</v>
      </c>
      <c r="E62" s="180">
        <f>'ІІІ. Рух грош. коштів'!I47</f>
        <v>-959</v>
      </c>
      <c r="F62" s="180">
        <f>'ІІІ. Рух грош. коштів'!E47</f>
        <v>-145</v>
      </c>
      <c r="G62" s="194">
        <f t="shared" ref="G62:G63" si="14">ROUND(E62*106.2%,0)</f>
        <v>-1018</v>
      </c>
      <c r="H62" s="194">
        <f t="shared" ref="H62:J62" si="15">ROUND(G62*105.3%,0)</f>
        <v>-1072</v>
      </c>
      <c r="I62" s="194">
        <f t="shared" si="15"/>
        <v>-1129</v>
      </c>
      <c r="J62" s="194">
        <f t="shared" si="15"/>
        <v>-1189</v>
      </c>
    </row>
    <row r="63" spans="1:10" ht="37.5">
      <c r="A63" s="103" t="s">
        <v>159</v>
      </c>
      <c r="B63" s="96">
        <f>'ІІІ. Рух грош. коштів'!B75</f>
        <v>3580</v>
      </c>
      <c r="C63" s="180">
        <f>'ІІІ. Рух грош. коштів'!C75</f>
        <v>356</v>
      </c>
      <c r="D63" s="180">
        <f>'ІІІ. Рух грош. коштів'!D75</f>
        <v>-10</v>
      </c>
      <c r="E63" s="180">
        <f>'ІІІ. Рух грош. коштів'!I75</f>
        <v>777</v>
      </c>
      <c r="F63" s="180">
        <f>'ІІІ. Рух грош. коштів'!E75</f>
        <v>6</v>
      </c>
      <c r="G63" s="194">
        <f t="shared" si="14"/>
        <v>825</v>
      </c>
      <c r="H63" s="194">
        <f t="shared" ref="H63:J64" si="16">ROUND(G63*105.3%,0)</f>
        <v>869</v>
      </c>
      <c r="I63" s="194">
        <f t="shared" si="16"/>
        <v>915</v>
      </c>
      <c r="J63" s="194">
        <f t="shared" si="16"/>
        <v>963</v>
      </c>
    </row>
    <row r="64" spans="1:10" ht="37.5">
      <c r="A64" s="103" t="s">
        <v>183</v>
      </c>
      <c r="B64" s="96">
        <f>'ІІІ. Рух грош. коштів'!B78</f>
        <v>3610</v>
      </c>
      <c r="C64" s="180">
        <f>'ІІІ. Рух грош. коштів'!C78</f>
        <v>0</v>
      </c>
      <c r="D64" s="180">
        <f>'ІІІ. Рух грош. коштів'!D78</f>
        <v>0</v>
      </c>
      <c r="E64" s="180">
        <f>'ІІІ. Рух грош. коштів'!I78</f>
        <v>0</v>
      </c>
      <c r="F64" s="180">
        <f>'ІІІ. Рух грош. коштів'!E78</f>
        <v>0</v>
      </c>
      <c r="G64" s="194">
        <f>ROUND(E64*106.2%,0)</f>
        <v>0</v>
      </c>
      <c r="H64" s="194">
        <f>ROUND(G64*105.3%,0)</f>
        <v>0</v>
      </c>
      <c r="I64" s="194">
        <f t="shared" si="16"/>
        <v>0</v>
      </c>
      <c r="J64" s="194">
        <f t="shared" si="16"/>
        <v>0</v>
      </c>
    </row>
    <row r="65" spans="1:10" ht="20.100000000000001" customHeight="1">
      <c r="A65" s="105" t="s">
        <v>160</v>
      </c>
      <c r="B65" s="96">
        <f>'ІІІ. Рух грош. коштів'!B79</f>
        <v>3620</v>
      </c>
      <c r="C65" s="180">
        <f>'ІІІ. Рух грош. коштів'!C79</f>
        <v>343</v>
      </c>
      <c r="D65" s="180">
        <f>'ІІІ. Рух грош. коштів'!D79</f>
        <v>487</v>
      </c>
      <c r="E65" s="180">
        <f>'ІІІ. Рух грош. коштів'!I79</f>
        <v>799</v>
      </c>
      <c r="F65" s="180">
        <f>'ІІІ. Рух грош. коштів'!E79</f>
        <v>647</v>
      </c>
      <c r="G65" s="180">
        <f>SUM(G60:G64)</f>
        <v>961</v>
      </c>
      <c r="H65" s="180">
        <f>SUM(H60:H64)</f>
        <v>1132</v>
      </c>
      <c r="I65" s="180">
        <f>SUM(I60:I64)</f>
        <v>1312</v>
      </c>
      <c r="J65" s="180">
        <f>SUM(J60:J64)</f>
        <v>1501</v>
      </c>
    </row>
    <row r="66" spans="1:10" ht="24.95" customHeight="1">
      <c r="A66" s="352" t="s">
        <v>227</v>
      </c>
      <c r="B66" s="353"/>
      <c r="C66" s="353"/>
      <c r="D66" s="353"/>
      <c r="E66" s="353"/>
      <c r="F66" s="353"/>
      <c r="G66" s="353"/>
      <c r="H66" s="353"/>
      <c r="I66" s="353"/>
      <c r="J66" s="354"/>
    </row>
    <row r="67" spans="1:10" ht="20.100000000000001" customHeight="1">
      <c r="A67" s="103" t="s">
        <v>226</v>
      </c>
      <c r="B67" s="96">
        <f>'IV. Кап. інвестиції'!B6</f>
        <v>4000</v>
      </c>
      <c r="C67" s="180">
        <f>'IV. Кап. інвестиції'!C6</f>
        <v>1056</v>
      </c>
      <c r="D67" s="180">
        <f>'IV. Кап. інвестиції'!D6</f>
        <v>179</v>
      </c>
      <c r="E67" s="180">
        <f>'IV. Кап. інвестиції'!I6</f>
        <v>826</v>
      </c>
      <c r="F67" s="180">
        <f>'IV. Кап. інвестиції'!E6</f>
        <v>145</v>
      </c>
      <c r="G67" s="194">
        <f>ROUND(E67*106.2%,0)</f>
        <v>877</v>
      </c>
      <c r="H67" s="194">
        <f>ROUND(G67*105.3%,0)</f>
        <v>923</v>
      </c>
      <c r="I67" s="194">
        <f t="shared" ref="I67:J67" si="17">ROUND(H67*105.3%,0)</f>
        <v>972</v>
      </c>
      <c r="J67" s="194">
        <f t="shared" si="17"/>
        <v>1024</v>
      </c>
    </row>
    <row r="68" spans="1:10" ht="24.95" customHeight="1">
      <c r="A68" s="348" t="s">
        <v>230</v>
      </c>
      <c r="B68" s="348"/>
      <c r="C68" s="348"/>
      <c r="D68" s="348"/>
      <c r="E68" s="348"/>
      <c r="F68" s="348"/>
      <c r="G68" s="348"/>
      <c r="H68" s="348"/>
      <c r="I68" s="348"/>
      <c r="J68" s="348"/>
    </row>
    <row r="69" spans="1:10" ht="20.100000000000001" customHeight="1">
      <c r="A69" s="103" t="s">
        <v>186</v>
      </c>
      <c r="B69" s="96">
        <f>' V. Коефіцієнти'!B9</f>
        <v>5020</v>
      </c>
      <c r="C69" s="186">
        <f>' V. Коефіцієнти'!D9</f>
        <v>8.6339664908759975E-4</v>
      </c>
      <c r="D69" s="186">
        <v>4.0000000000000001E-3</v>
      </c>
      <c r="E69" s="186">
        <f>' V. Коефіцієнти'!G9</f>
        <v>8.3574106354019912E-4</v>
      </c>
      <c r="F69" s="186">
        <f>' V. Коефіцієнти'!F9</f>
        <v>5.1595956753207155E-4</v>
      </c>
      <c r="G69" s="99" t="s">
        <v>239</v>
      </c>
      <c r="H69" s="99" t="s">
        <v>239</v>
      </c>
      <c r="I69" s="99" t="s">
        <v>239</v>
      </c>
      <c r="J69" s="99" t="s">
        <v>239</v>
      </c>
    </row>
    <row r="70" spans="1:10" ht="37.5">
      <c r="A70" s="103" t="s">
        <v>182</v>
      </c>
      <c r="B70" s="96">
        <f>' V. Коефіцієнти'!B10</f>
        <v>5030</v>
      </c>
      <c r="C70" s="186">
        <f>' V. Коефіцієнти'!D10</f>
        <v>2.4198822759973839E-2</v>
      </c>
      <c r="D70" s="186">
        <v>0.121</v>
      </c>
      <c r="E70" s="186">
        <f>' V. Коефіцієнти'!G10</f>
        <v>2.1902377972465581E-2</v>
      </c>
      <c r="F70" s="186">
        <f>' V. Коефіцієнти'!F10</f>
        <v>1.3871374527112233E-2</v>
      </c>
      <c r="G70" s="99" t="s">
        <v>239</v>
      </c>
      <c r="H70" s="99" t="s">
        <v>239</v>
      </c>
      <c r="I70" s="99" t="s">
        <v>239</v>
      </c>
      <c r="J70" s="99" t="s">
        <v>239</v>
      </c>
    </row>
    <row r="71" spans="1:10" ht="20.100000000000001" customHeight="1">
      <c r="A71" s="103" t="s">
        <v>246</v>
      </c>
      <c r="B71" s="96">
        <f>' V. Коефіцієнти'!B14</f>
        <v>5110</v>
      </c>
      <c r="C71" s="186">
        <f>' V. Коефіцієнти'!D14</f>
        <v>3.6999395039322445E-2</v>
      </c>
      <c r="D71" s="186">
        <v>3.3000000000000002E-2</v>
      </c>
      <c r="E71" s="186">
        <f>' V. Коефіцієнти'!G14</f>
        <v>3.9671309053896375E-2</v>
      </c>
      <c r="F71" s="186">
        <f>' V. Коефіцієнти'!F14</f>
        <v>3.8632986627043092E-2</v>
      </c>
      <c r="G71" s="99" t="s">
        <v>239</v>
      </c>
      <c r="H71" s="99" t="s">
        <v>239</v>
      </c>
      <c r="I71" s="99" t="s">
        <v>239</v>
      </c>
      <c r="J71" s="99" t="s">
        <v>239</v>
      </c>
    </row>
    <row r="72" spans="1:10" ht="24.95" customHeight="1">
      <c r="A72" s="349" t="s">
        <v>229</v>
      </c>
      <c r="B72" s="349"/>
      <c r="C72" s="349"/>
      <c r="D72" s="349"/>
      <c r="E72" s="349"/>
      <c r="F72" s="349"/>
      <c r="G72" s="349"/>
      <c r="H72" s="349"/>
      <c r="I72" s="349"/>
      <c r="J72" s="349"/>
    </row>
    <row r="73" spans="1:10" ht="20.100000000000001" customHeight="1">
      <c r="A73" s="103" t="s">
        <v>161</v>
      </c>
      <c r="B73" s="96">
        <v>6000</v>
      </c>
      <c r="C73" s="223">
        <v>41167</v>
      </c>
      <c r="D73" s="223">
        <v>15272</v>
      </c>
      <c r="E73" s="337">
        <f>F73+'IV. Кап. інвестиції'!I6-'I. Фін результат'!I102</f>
        <v>41029</v>
      </c>
      <c r="F73" s="223">
        <v>40502</v>
      </c>
      <c r="G73" s="106" t="s">
        <v>239</v>
      </c>
      <c r="H73" s="106" t="s">
        <v>239</v>
      </c>
      <c r="I73" s="106" t="s">
        <v>239</v>
      </c>
      <c r="J73" s="106" t="s">
        <v>239</v>
      </c>
    </row>
    <row r="74" spans="1:10" ht="20.100000000000001" customHeight="1">
      <c r="A74" s="103" t="s">
        <v>162</v>
      </c>
      <c r="B74" s="96">
        <v>6010</v>
      </c>
      <c r="C74" s="223">
        <v>1687</v>
      </c>
      <c r="D74" s="223">
        <v>1909</v>
      </c>
      <c r="E74" s="337">
        <v>850</v>
      </c>
      <c r="F74" s="223">
        <v>2137</v>
      </c>
      <c r="G74" s="106" t="s">
        <v>239</v>
      </c>
      <c r="H74" s="106" t="s">
        <v>239</v>
      </c>
      <c r="I74" s="106" t="s">
        <v>239</v>
      </c>
      <c r="J74" s="106" t="s">
        <v>239</v>
      </c>
    </row>
    <row r="75" spans="1:10" ht="37.5">
      <c r="A75" s="103" t="s">
        <v>273</v>
      </c>
      <c r="B75" s="96">
        <v>6020</v>
      </c>
      <c r="C75" s="223">
        <f>C65</f>
        <v>343</v>
      </c>
      <c r="D75" s="223">
        <f t="shared" ref="D75:F75" si="18">D65</f>
        <v>487</v>
      </c>
      <c r="E75" s="337">
        <f t="shared" si="18"/>
        <v>799</v>
      </c>
      <c r="F75" s="223">
        <f t="shared" si="18"/>
        <v>647</v>
      </c>
      <c r="G75" s="106" t="s">
        <v>239</v>
      </c>
      <c r="H75" s="106" t="s">
        <v>239</v>
      </c>
      <c r="I75" s="106" t="s">
        <v>239</v>
      </c>
      <c r="J75" s="106" t="s">
        <v>239</v>
      </c>
    </row>
    <row r="76" spans="1:10" s="5" customFormat="1" ht="20.100000000000001" customHeight="1">
      <c r="A76" s="105" t="s">
        <v>277</v>
      </c>
      <c r="B76" s="96">
        <v>6030</v>
      </c>
      <c r="C76" s="223">
        <v>42854</v>
      </c>
      <c r="D76" s="223">
        <v>17181</v>
      </c>
      <c r="E76" s="337">
        <f>E73+E74</f>
        <v>41879</v>
      </c>
      <c r="F76" s="223">
        <f>F73+F74</f>
        <v>42639</v>
      </c>
      <c r="G76" s="106" t="s">
        <v>239</v>
      </c>
      <c r="H76" s="106" t="s">
        <v>239</v>
      </c>
      <c r="I76" s="106" t="s">
        <v>239</v>
      </c>
      <c r="J76" s="106" t="s">
        <v>239</v>
      </c>
    </row>
    <row r="77" spans="1:10" ht="37.5">
      <c r="A77" s="103" t="s">
        <v>184</v>
      </c>
      <c r="B77" s="96">
        <v>6040</v>
      </c>
      <c r="C77" s="223">
        <v>0</v>
      </c>
      <c r="D77" s="223">
        <v>11820</v>
      </c>
      <c r="E77" s="337"/>
      <c r="F77" s="223"/>
      <c r="G77" s="106" t="s">
        <v>239</v>
      </c>
      <c r="H77" s="106" t="s">
        <v>239</v>
      </c>
      <c r="I77" s="106" t="s">
        <v>239</v>
      </c>
      <c r="J77" s="106" t="s">
        <v>239</v>
      </c>
    </row>
    <row r="78" spans="1:10" ht="20.100000000000001" customHeight="1">
      <c r="A78" s="103" t="s">
        <v>185</v>
      </c>
      <c r="B78" s="96">
        <v>6050</v>
      </c>
      <c r="C78" s="223">
        <v>41325</v>
      </c>
      <c r="D78" s="223">
        <v>4148</v>
      </c>
      <c r="E78" s="337">
        <f>E76-E82</f>
        <v>40281</v>
      </c>
      <c r="F78" s="223">
        <v>41053</v>
      </c>
      <c r="G78" s="106" t="s">
        <v>239</v>
      </c>
      <c r="H78" s="106" t="s">
        <v>239</v>
      </c>
      <c r="I78" s="106" t="s">
        <v>239</v>
      </c>
      <c r="J78" s="106" t="s">
        <v>239</v>
      </c>
    </row>
    <row r="79" spans="1:10" s="5" customFormat="1" ht="37.5">
      <c r="A79" s="105" t="s">
        <v>276</v>
      </c>
      <c r="B79" s="96">
        <v>6060</v>
      </c>
      <c r="C79" s="223">
        <f>SUM(C77:C78)</f>
        <v>41325</v>
      </c>
      <c r="D79" s="223">
        <f>SUM(D77:D78)</f>
        <v>15968</v>
      </c>
      <c r="E79" s="337">
        <f>SUM(E77:E78)</f>
        <v>40281</v>
      </c>
      <c r="F79" s="223">
        <v>41053</v>
      </c>
      <c r="G79" s="106" t="s">
        <v>239</v>
      </c>
      <c r="H79" s="106" t="s">
        <v>239</v>
      </c>
      <c r="I79" s="106" t="s">
        <v>239</v>
      </c>
      <c r="J79" s="106" t="s">
        <v>239</v>
      </c>
    </row>
    <row r="80" spans="1:10" ht="44.25" customHeight="1">
      <c r="A80" s="103" t="s">
        <v>274</v>
      </c>
      <c r="B80" s="96">
        <v>6070</v>
      </c>
      <c r="C80" s="223">
        <v>0</v>
      </c>
      <c r="D80" s="223">
        <v>0</v>
      </c>
      <c r="E80" s="337">
        <v>0</v>
      </c>
      <c r="F80" s="223">
        <v>0</v>
      </c>
      <c r="G80" s="106" t="s">
        <v>239</v>
      </c>
      <c r="H80" s="106" t="s">
        <v>239</v>
      </c>
      <c r="I80" s="106" t="s">
        <v>239</v>
      </c>
      <c r="J80" s="106" t="s">
        <v>239</v>
      </c>
    </row>
    <row r="81" spans="1:10" ht="20.100000000000001" customHeight="1">
      <c r="A81" s="103" t="s">
        <v>275</v>
      </c>
      <c r="B81" s="96">
        <v>6080</v>
      </c>
      <c r="C81" s="223">
        <v>0</v>
      </c>
      <c r="D81" s="223">
        <v>0</v>
      </c>
      <c r="E81" s="337">
        <v>0</v>
      </c>
      <c r="F81" s="223">
        <v>0</v>
      </c>
      <c r="G81" s="106" t="s">
        <v>239</v>
      </c>
      <c r="H81" s="106" t="s">
        <v>239</v>
      </c>
      <c r="I81" s="106" t="s">
        <v>239</v>
      </c>
      <c r="J81" s="106" t="s">
        <v>239</v>
      </c>
    </row>
    <row r="82" spans="1:10" s="5" customFormat="1" ht="20.100000000000001" customHeight="1">
      <c r="A82" s="105" t="s">
        <v>163</v>
      </c>
      <c r="B82" s="96">
        <v>6090</v>
      </c>
      <c r="C82" s="223">
        <v>1529</v>
      </c>
      <c r="D82" s="223">
        <v>1213</v>
      </c>
      <c r="E82" s="337">
        <f>F82+'I. Фін результат'!I80-'ІІ. Розр. з бюджетом'!I19+'ІІІ. Рух грош. коштів'!I46</f>
        <v>1598</v>
      </c>
      <c r="F82" s="223">
        <v>1586</v>
      </c>
      <c r="G82" s="106" t="s">
        <v>239</v>
      </c>
      <c r="H82" s="106" t="s">
        <v>239</v>
      </c>
      <c r="I82" s="106" t="s">
        <v>239</v>
      </c>
      <c r="J82" s="106" t="s">
        <v>239</v>
      </c>
    </row>
    <row r="83" spans="1:10" s="5" customFormat="1" ht="48" customHeight="1">
      <c r="A83" s="195"/>
      <c r="B83" s="196"/>
      <c r="C83" s="197"/>
      <c r="D83" s="198"/>
      <c r="E83" s="198"/>
      <c r="F83" s="198"/>
      <c r="G83" s="199"/>
      <c r="H83" s="199"/>
      <c r="I83" s="199"/>
      <c r="J83" s="199"/>
    </row>
    <row r="84" spans="1:10" ht="24.95" customHeight="1">
      <c r="A84" s="200"/>
      <c r="B84" s="196"/>
      <c r="C84" s="199"/>
      <c r="D84" s="201"/>
      <c r="E84" s="201"/>
      <c r="F84" s="201"/>
      <c r="G84" s="201"/>
      <c r="H84" s="201"/>
      <c r="I84" s="201"/>
      <c r="J84" s="201"/>
    </row>
    <row r="85" spans="1:10" ht="26.25" customHeight="1">
      <c r="A85" s="202" t="s">
        <v>400</v>
      </c>
      <c r="B85" s="203"/>
      <c r="C85" s="339" t="s">
        <v>401</v>
      </c>
      <c r="D85" s="340"/>
      <c r="E85" s="204"/>
      <c r="F85" s="204"/>
      <c r="G85" s="341" t="s">
        <v>399</v>
      </c>
      <c r="H85" s="341"/>
      <c r="I85" s="341"/>
      <c r="J85" s="191"/>
    </row>
    <row r="86" spans="1:10" s="1" customFormat="1" ht="21" customHeight="1">
      <c r="A86" s="205" t="s">
        <v>379</v>
      </c>
      <c r="B86" s="191"/>
      <c r="C86" s="370" t="s">
        <v>84</v>
      </c>
      <c r="D86" s="370"/>
      <c r="E86" s="192"/>
      <c r="F86" s="192"/>
      <c r="G86" s="371" t="s">
        <v>115</v>
      </c>
      <c r="H86" s="371"/>
      <c r="I86" s="371"/>
      <c r="J86" s="206">
        <v>1</v>
      </c>
    </row>
    <row r="88" spans="1:10">
      <c r="A88" s="50"/>
    </row>
    <row r="89" spans="1:10">
      <c r="A89" s="50"/>
    </row>
    <row r="90" spans="1:10">
      <c r="A90" s="50"/>
    </row>
    <row r="91" spans="1:10" s="25" customFormat="1">
      <c r="A91" s="50"/>
      <c r="E91" s="2"/>
      <c r="F91" s="2"/>
      <c r="G91" s="2"/>
      <c r="H91" s="2"/>
      <c r="I91" s="2"/>
      <c r="J91" s="2"/>
    </row>
    <row r="92" spans="1:10" s="25" customFormat="1">
      <c r="A92" s="50"/>
      <c r="E92" s="2"/>
      <c r="F92" s="2"/>
      <c r="G92" s="2"/>
      <c r="H92" s="2"/>
      <c r="I92" s="2"/>
      <c r="J92" s="2"/>
    </row>
    <row r="93" spans="1:10" s="25" customFormat="1">
      <c r="A93" s="50"/>
      <c r="E93" s="2"/>
      <c r="F93" s="2"/>
      <c r="G93" s="2"/>
      <c r="H93" s="2"/>
      <c r="I93" s="2"/>
      <c r="J93" s="2"/>
    </row>
    <row r="94" spans="1:10" s="25" customFormat="1">
      <c r="A94" s="50"/>
      <c r="E94" s="2"/>
      <c r="F94" s="2"/>
      <c r="G94" s="2"/>
      <c r="H94" s="2"/>
      <c r="I94" s="2"/>
      <c r="J94" s="2"/>
    </row>
    <row r="95" spans="1:10" s="25" customFormat="1">
      <c r="A95" s="50"/>
      <c r="E95" s="2"/>
      <c r="F95" s="2"/>
      <c r="G95" s="2"/>
      <c r="H95" s="2"/>
      <c r="I95" s="2"/>
      <c r="J95" s="2"/>
    </row>
    <row r="96" spans="1:10" s="25" customFormat="1">
      <c r="A96" s="50"/>
      <c r="E96" s="2"/>
      <c r="F96" s="2"/>
      <c r="G96" s="2"/>
      <c r="H96" s="2"/>
      <c r="I96" s="2"/>
      <c r="J96" s="2"/>
    </row>
    <row r="97" spans="1:10" s="25" customFormat="1">
      <c r="A97" s="50"/>
      <c r="E97" s="2"/>
      <c r="F97" s="2"/>
      <c r="G97" s="2"/>
      <c r="H97" s="2"/>
      <c r="I97" s="2"/>
      <c r="J97" s="2"/>
    </row>
    <row r="98" spans="1:10" s="25" customFormat="1">
      <c r="A98" s="50"/>
      <c r="E98" s="2"/>
      <c r="F98" s="2"/>
      <c r="G98" s="2"/>
      <c r="H98" s="2"/>
      <c r="I98" s="2"/>
      <c r="J98" s="2"/>
    </row>
    <row r="99" spans="1:10" s="25" customFormat="1">
      <c r="A99" s="50"/>
      <c r="E99" s="2"/>
      <c r="F99" s="2"/>
      <c r="G99" s="2"/>
      <c r="H99" s="2"/>
      <c r="I99" s="2"/>
      <c r="J99" s="2"/>
    </row>
    <row r="100" spans="1:10" s="25" customFormat="1">
      <c r="A100" s="50"/>
      <c r="E100" s="2"/>
      <c r="F100" s="2"/>
      <c r="G100" s="2"/>
      <c r="H100" s="2"/>
      <c r="I100" s="2"/>
      <c r="J100" s="2"/>
    </row>
    <row r="101" spans="1:10" s="25" customFormat="1">
      <c r="A101" s="50"/>
      <c r="E101" s="2"/>
      <c r="F101" s="2"/>
      <c r="G101" s="2"/>
      <c r="H101" s="2"/>
      <c r="I101" s="2"/>
      <c r="J101" s="2"/>
    </row>
    <row r="102" spans="1:10" s="25" customFormat="1">
      <c r="A102" s="50"/>
      <c r="E102" s="2"/>
      <c r="F102" s="2"/>
      <c r="G102" s="2"/>
      <c r="H102" s="2"/>
      <c r="I102" s="2"/>
      <c r="J102" s="2"/>
    </row>
    <row r="103" spans="1:10" s="25" customFormat="1">
      <c r="A103" s="50"/>
      <c r="E103" s="2"/>
      <c r="F103" s="2"/>
      <c r="G103" s="2"/>
      <c r="H103" s="2"/>
      <c r="I103" s="2"/>
      <c r="J103" s="2"/>
    </row>
    <row r="104" spans="1:10" s="25" customFormat="1">
      <c r="A104" s="50"/>
      <c r="E104" s="2"/>
      <c r="F104" s="2"/>
      <c r="G104" s="2"/>
      <c r="H104" s="2"/>
      <c r="I104" s="2"/>
      <c r="J104" s="2"/>
    </row>
    <row r="105" spans="1:10" s="25" customFormat="1">
      <c r="A105" s="50"/>
      <c r="E105" s="2"/>
      <c r="F105" s="2"/>
      <c r="G105" s="2"/>
      <c r="H105" s="2"/>
      <c r="I105" s="2"/>
      <c r="J105" s="2"/>
    </row>
    <row r="106" spans="1:10" s="25" customFormat="1">
      <c r="A106" s="50"/>
      <c r="E106" s="2"/>
      <c r="F106" s="2"/>
      <c r="G106" s="2"/>
      <c r="H106" s="2"/>
      <c r="I106" s="2"/>
      <c r="J106" s="2"/>
    </row>
    <row r="107" spans="1:10" s="25" customFormat="1">
      <c r="A107" s="50"/>
      <c r="E107" s="2"/>
      <c r="F107" s="2"/>
      <c r="G107" s="2"/>
      <c r="H107" s="2"/>
      <c r="I107" s="2"/>
      <c r="J107" s="2"/>
    </row>
    <row r="108" spans="1:10" s="25" customFormat="1">
      <c r="A108" s="50"/>
      <c r="E108" s="2"/>
      <c r="F108" s="2"/>
      <c r="G108" s="2"/>
      <c r="H108" s="2"/>
      <c r="I108" s="2"/>
      <c r="J108" s="2"/>
    </row>
    <row r="109" spans="1:10" s="25" customFormat="1">
      <c r="A109" s="50"/>
      <c r="E109" s="2"/>
      <c r="F109" s="2"/>
      <c r="G109" s="2"/>
      <c r="H109" s="2"/>
      <c r="I109" s="2"/>
      <c r="J109" s="2"/>
    </row>
    <row r="110" spans="1:10" s="25" customFormat="1">
      <c r="A110" s="50"/>
      <c r="E110" s="2"/>
      <c r="F110" s="2"/>
      <c r="G110" s="2"/>
      <c r="H110" s="2"/>
      <c r="I110" s="2"/>
      <c r="J110" s="2"/>
    </row>
    <row r="111" spans="1:10" s="25" customFormat="1">
      <c r="A111" s="50"/>
      <c r="E111" s="2"/>
      <c r="F111" s="2"/>
      <c r="G111" s="2"/>
      <c r="H111" s="2"/>
      <c r="I111" s="2"/>
      <c r="J111" s="2"/>
    </row>
    <row r="112" spans="1:10" s="25" customFormat="1">
      <c r="A112" s="50"/>
      <c r="E112" s="2"/>
      <c r="F112" s="2"/>
      <c r="G112" s="2"/>
      <c r="H112" s="2"/>
      <c r="I112" s="2"/>
      <c r="J112" s="2"/>
    </row>
    <row r="113" spans="1:10" s="25" customFormat="1">
      <c r="A113" s="50"/>
      <c r="E113" s="2"/>
      <c r="F113" s="2"/>
      <c r="G113" s="2"/>
      <c r="H113" s="2"/>
      <c r="I113" s="2"/>
      <c r="J113" s="2"/>
    </row>
    <row r="114" spans="1:10" s="25" customFormat="1">
      <c r="A114" s="50"/>
      <c r="E114" s="2"/>
      <c r="F114" s="2"/>
      <c r="G114" s="2"/>
      <c r="H114" s="2"/>
      <c r="I114" s="2"/>
      <c r="J114" s="2"/>
    </row>
    <row r="115" spans="1:10" s="25" customFormat="1">
      <c r="A115" s="50"/>
      <c r="E115" s="2"/>
      <c r="F115" s="2"/>
      <c r="G115" s="2"/>
      <c r="H115" s="2"/>
      <c r="I115" s="2"/>
      <c r="J115" s="2"/>
    </row>
    <row r="116" spans="1:10" s="25" customFormat="1">
      <c r="A116" s="50"/>
      <c r="E116" s="2"/>
      <c r="F116" s="2"/>
      <c r="G116" s="2"/>
      <c r="H116" s="2"/>
      <c r="I116" s="2"/>
      <c r="J116" s="2"/>
    </row>
    <row r="117" spans="1:10" s="25" customFormat="1">
      <c r="A117" s="50"/>
      <c r="E117" s="2"/>
      <c r="F117" s="2"/>
      <c r="G117" s="2"/>
      <c r="H117" s="2"/>
      <c r="I117" s="2"/>
      <c r="J117" s="2"/>
    </row>
    <row r="118" spans="1:10" s="25" customFormat="1">
      <c r="A118" s="50"/>
      <c r="E118" s="2"/>
      <c r="F118" s="2"/>
      <c r="G118" s="2"/>
      <c r="H118" s="2"/>
      <c r="I118" s="2"/>
      <c r="J118" s="2"/>
    </row>
    <row r="119" spans="1:10" s="25" customFormat="1">
      <c r="A119" s="50"/>
      <c r="E119" s="2"/>
      <c r="F119" s="2"/>
      <c r="G119" s="2"/>
      <c r="H119" s="2"/>
      <c r="I119" s="2"/>
      <c r="J119" s="2"/>
    </row>
    <row r="120" spans="1:10" s="25" customFormat="1">
      <c r="A120" s="50"/>
      <c r="E120" s="2"/>
      <c r="F120" s="2"/>
      <c r="G120" s="2"/>
      <c r="H120" s="2"/>
      <c r="I120" s="2"/>
      <c r="J120" s="2"/>
    </row>
    <row r="121" spans="1:10" s="25" customFormat="1">
      <c r="A121" s="50"/>
      <c r="E121" s="2"/>
      <c r="F121" s="2"/>
      <c r="G121" s="2"/>
      <c r="H121" s="2"/>
      <c r="I121" s="2"/>
      <c r="J121" s="2"/>
    </row>
    <row r="122" spans="1:10" s="25" customFormat="1">
      <c r="A122" s="50"/>
      <c r="E122" s="2"/>
      <c r="F122" s="2"/>
      <c r="G122" s="2"/>
      <c r="H122" s="2"/>
      <c r="I122" s="2"/>
      <c r="J122" s="2"/>
    </row>
    <row r="123" spans="1:10" s="25" customFormat="1">
      <c r="A123" s="50"/>
      <c r="E123" s="2"/>
      <c r="F123" s="2"/>
      <c r="G123" s="2"/>
      <c r="H123" s="2"/>
      <c r="I123" s="2"/>
      <c r="J123" s="2"/>
    </row>
    <row r="124" spans="1:10" s="25" customFormat="1">
      <c r="A124" s="50"/>
      <c r="E124" s="2"/>
      <c r="F124" s="2"/>
      <c r="G124" s="2"/>
      <c r="H124" s="2"/>
      <c r="I124" s="2"/>
      <c r="J124" s="2"/>
    </row>
    <row r="125" spans="1:10" s="25" customFormat="1">
      <c r="A125" s="50"/>
      <c r="E125" s="2"/>
      <c r="F125" s="2"/>
      <c r="G125" s="2"/>
      <c r="H125" s="2"/>
      <c r="I125" s="2"/>
      <c r="J125" s="2"/>
    </row>
    <row r="126" spans="1:10" s="25" customFormat="1">
      <c r="A126" s="50"/>
      <c r="E126" s="2"/>
      <c r="F126" s="2"/>
      <c r="G126" s="2"/>
      <c r="H126" s="2"/>
      <c r="I126" s="2"/>
      <c r="J126" s="2"/>
    </row>
    <row r="127" spans="1:10" s="25" customFormat="1">
      <c r="A127" s="50"/>
      <c r="E127" s="2"/>
      <c r="F127" s="2"/>
      <c r="G127" s="2"/>
      <c r="H127" s="2"/>
      <c r="I127" s="2"/>
      <c r="J127" s="2"/>
    </row>
    <row r="128" spans="1:10" s="25" customFormat="1">
      <c r="A128" s="50"/>
      <c r="E128" s="2"/>
      <c r="F128" s="2"/>
      <c r="G128" s="2"/>
      <c r="H128" s="2"/>
      <c r="I128" s="2"/>
      <c r="J128" s="2"/>
    </row>
    <row r="129" spans="1:10" s="25" customFormat="1">
      <c r="A129" s="50"/>
      <c r="E129" s="2"/>
      <c r="F129" s="2"/>
      <c r="G129" s="2"/>
      <c r="H129" s="2"/>
      <c r="I129" s="2"/>
      <c r="J129" s="2"/>
    </row>
    <row r="130" spans="1:10" s="25" customFormat="1">
      <c r="A130" s="50"/>
      <c r="E130" s="2"/>
      <c r="F130" s="2"/>
      <c r="G130" s="2"/>
      <c r="H130" s="2"/>
      <c r="I130" s="2"/>
      <c r="J130" s="2"/>
    </row>
    <row r="131" spans="1:10" s="25" customFormat="1">
      <c r="A131" s="50"/>
      <c r="E131" s="2"/>
      <c r="F131" s="2"/>
      <c r="G131" s="2"/>
      <c r="H131" s="2"/>
      <c r="I131" s="2"/>
      <c r="J131" s="2"/>
    </row>
    <row r="132" spans="1:10" s="25" customFormat="1">
      <c r="A132" s="50"/>
      <c r="E132" s="2"/>
      <c r="F132" s="2"/>
      <c r="G132" s="2"/>
      <c r="H132" s="2"/>
      <c r="I132" s="2"/>
      <c r="J132" s="2"/>
    </row>
    <row r="133" spans="1:10" s="25" customFormat="1">
      <c r="A133" s="50"/>
      <c r="E133" s="2"/>
      <c r="F133" s="2"/>
      <c r="G133" s="2"/>
      <c r="H133" s="2"/>
      <c r="I133" s="2"/>
      <c r="J133" s="2"/>
    </row>
    <row r="134" spans="1:10" s="25" customFormat="1">
      <c r="A134" s="50"/>
      <c r="E134" s="2"/>
      <c r="F134" s="2"/>
      <c r="G134" s="2"/>
      <c r="H134" s="2"/>
      <c r="I134" s="2"/>
      <c r="J134" s="2"/>
    </row>
    <row r="135" spans="1:10" s="25" customFormat="1">
      <c r="A135" s="50"/>
      <c r="E135" s="2"/>
      <c r="F135" s="2"/>
      <c r="G135" s="2"/>
      <c r="H135" s="2"/>
      <c r="I135" s="2"/>
      <c r="J135" s="2"/>
    </row>
    <row r="136" spans="1:10" s="25" customFormat="1">
      <c r="A136" s="50"/>
      <c r="E136" s="2"/>
      <c r="F136" s="2"/>
      <c r="G136" s="2"/>
      <c r="H136" s="2"/>
      <c r="I136" s="2"/>
      <c r="J136" s="2"/>
    </row>
    <row r="137" spans="1:10" s="25" customFormat="1">
      <c r="A137" s="50"/>
      <c r="E137" s="2"/>
      <c r="F137" s="2"/>
      <c r="G137" s="2"/>
      <c r="H137" s="2"/>
      <c r="I137" s="2"/>
      <c r="J137" s="2"/>
    </row>
    <row r="138" spans="1:10" s="25" customFormat="1">
      <c r="A138" s="50"/>
      <c r="E138" s="2"/>
      <c r="F138" s="2"/>
      <c r="G138" s="2"/>
      <c r="H138" s="2"/>
      <c r="I138" s="2"/>
      <c r="J138" s="2"/>
    </row>
    <row r="139" spans="1:10" s="25" customFormat="1">
      <c r="A139" s="50"/>
      <c r="E139" s="2"/>
      <c r="F139" s="2"/>
      <c r="G139" s="2"/>
      <c r="H139" s="2"/>
      <c r="I139" s="2"/>
      <c r="J139" s="2"/>
    </row>
    <row r="140" spans="1:10" s="25" customFormat="1">
      <c r="A140" s="50"/>
      <c r="E140" s="2"/>
      <c r="F140" s="2"/>
      <c r="G140" s="2"/>
      <c r="H140" s="2"/>
      <c r="I140" s="2"/>
      <c r="J140" s="2"/>
    </row>
    <row r="141" spans="1:10" s="25" customFormat="1">
      <c r="A141" s="50"/>
      <c r="E141" s="2"/>
      <c r="F141" s="2"/>
      <c r="G141" s="2"/>
      <c r="H141" s="2"/>
      <c r="I141" s="2"/>
      <c r="J141" s="2"/>
    </row>
    <row r="142" spans="1:10" s="25" customFormat="1">
      <c r="A142" s="50"/>
      <c r="E142" s="2"/>
      <c r="F142" s="2"/>
      <c r="G142" s="2"/>
      <c r="H142" s="2"/>
      <c r="I142" s="2"/>
      <c r="J142" s="2"/>
    </row>
    <row r="143" spans="1:10" s="25" customFormat="1">
      <c r="A143" s="50"/>
      <c r="E143" s="2"/>
      <c r="F143" s="2"/>
      <c r="G143" s="2"/>
      <c r="H143" s="2"/>
      <c r="I143" s="2"/>
      <c r="J143" s="2"/>
    </row>
    <row r="144" spans="1:10" s="25" customFormat="1">
      <c r="A144" s="50"/>
      <c r="E144" s="2"/>
      <c r="F144" s="2"/>
      <c r="G144" s="2"/>
      <c r="H144" s="2"/>
      <c r="I144" s="2"/>
      <c r="J144" s="2"/>
    </row>
    <row r="145" spans="1:10" s="25" customFormat="1">
      <c r="A145" s="50"/>
      <c r="E145" s="2"/>
      <c r="F145" s="2"/>
      <c r="G145" s="2"/>
      <c r="H145" s="2"/>
      <c r="I145" s="2"/>
      <c r="J145" s="2"/>
    </row>
    <row r="146" spans="1:10" s="25" customFormat="1">
      <c r="A146" s="50"/>
      <c r="E146" s="2"/>
      <c r="F146" s="2"/>
      <c r="G146" s="2"/>
      <c r="H146" s="2"/>
      <c r="I146" s="2"/>
      <c r="J146" s="2"/>
    </row>
    <row r="147" spans="1:10" s="25" customFormat="1">
      <c r="A147" s="50"/>
      <c r="E147" s="2"/>
      <c r="F147" s="2"/>
      <c r="G147" s="2"/>
      <c r="H147" s="2"/>
      <c r="I147" s="2"/>
      <c r="J147" s="2"/>
    </row>
    <row r="148" spans="1:10" s="25" customFormat="1">
      <c r="A148" s="50"/>
      <c r="E148" s="2"/>
      <c r="F148" s="2"/>
      <c r="G148" s="2"/>
      <c r="H148" s="2"/>
      <c r="I148" s="2"/>
      <c r="J148" s="2"/>
    </row>
    <row r="149" spans="1:10" s="25" customFormat="1">
      <c r="A149" s="50"/>
      <c r="E149" s="2"/>
      <c r="F149" s="2"/>
      <c r="G149" s="2"/>
      <c r="H149" s="2"/>
      <c r="I149" s="2"/>
      <c r="J149" s="2"/>
    </row>
    <row r="150" spans="1:10" s="25" customFormat="1">
      <c r="A150" s="50"/>
      <c r="E150" s="2"/>
      <c r="F150" s="2"/>
      <c r="G150" s="2"/>
      <c r="H150" s="2"/>
      <c r="I150" s="2"/>
      <c r="J150" s="2"/>
    </row>
    <row r="151" spans="1:10" s="25" customFormat="1">
      <c r="A151" s="50"/>
      <c r="E151" s="2"/>
      <c r="F151" s="2"/>
      <c r="G151" s="2"/>
      <c r="H151" s="2"/>
      <c r="I151" s="2"/>
      <c r="J151" s="2"/>
    </row>
    <row r="152" spans="1:10" s="25" customFormat="1">
      <c r="A152" s="50"/>
      <c r="E152" s="2"/>
      <c r="F152" s="2"/>
      <c r="G152" s="2"/>
      <c r="H152" s="2"/>
      <c r="I152" s="2"/>
      <c r="J152" s="2"/>
    </row>
    <row r="153" spans="1:10" s="25" customFormat="1">
      <c r="A153" s="50"/>
      <c r="E153" s="2"/>
      <c r="F153" s="2"/>
      <c r="G153" s="2"/>
      <c r="H153" s="2"/>
      <c r="I153" s="2"/>
      <c r="J153" s="2"/>
    </row>
    <row r="154" spans="1:10" s="25" customFormat="1">
      <c r="A154" s="50"/>
      <c r="E154" s="2"/>
      <c r="F154" s="2"/>
      <c r="G154" s="2"/>
      <c r="H154" s="2"/>
      <c r="I154" s="2"/>
      <c r="J154" s="2"/>
    </row>
    <row r="155" spans="1:10" s="25" customFormat="1">
      <c r="A155" s="50"/>
      <c r="E155" s="2"/>
      <c r="F155" s="2"/>
      <c r="G155" s="2"/>
      <c r="H155" s="2"/>
      <c r="I155" s="2"/>
      <c r="J155" s="2"/>
    </row>
    <row r="156" spans="1:10" s="25" customFormat="1">
      <c r="A156" s="50"/>
      <c r="E156" s="2"/>
      <c r="F156" s="2"/>
      <c r="G156" s="2"/>
      <c r="H156" s="2"/>
      <c r="I156" s="2"/>
      <c r="J156" s="2"/>
    </row>
    <row r="157" spans="1:10" s="25" customFormat="1">
      <c r="A157" s="50"/>
      <c r="E157" s="2"/>
      <c r="F157" s="2"/>
      <c r="G157" s="2"/>
      <c r="H157" s="2"/>
      <c r="I157" s="2"/>
      <c r="J157" s="2"/>
    </row>
    <row r="158" spans="1:10" s="25" customFormat="1">
      <c r="A158" s="50"/>
      <c r="E158" s="2"/>
      <c r="F158" s="2"/>
      <c r="G158" s="2"/>
      <c r="H158" s="2"/>
      <c r="I158" s="2"/>
      <c r="J158" s="2"/>
    </row>
    <row r="159" spans="1:10" s="25" customFormat="1">
      <c r="A159" s="50"/>
      <c r="E159" s="2"/>
      <c r="F159" s="2"/>
      <c r="G159" s="2"/>
      <c r="H159" s="2"/>
      <c r="I159" s="2"/>
      <c r="J159" s="2"/>
    </row>
    <row r="160" spans="1:10" s="25" customFormat="1">
      <c r="A160" s="50"/>
      <c r="E160" s="2"/>
      <c r="F160" s="2"/>
      <c r="G160" s="2"/>
      <c r="H160" s="2"/>
      <c r="I160" s="2"/>
      <c r="J160" s="2"/>
    </row>
    <row r="161" spans="1:10" s="25" customFormat="1">
      <c r="A161" s="50"/>
      <c r="E161" s="2"/>
      <c r="F161" s="2"/>
      <c r="G161" s="2"/>
      <c r="H161" s="2"/>
      <c r="I161" s="2"/>
      <c r="J161" s="2"/>
    </row>
    <row r="162" spans="1:10" s="25" customFormat="1">
      <c r="A162" s="50"/>
      <c r="E162" s="2"/>
      <c r="F162" s="2"/>
      <c r="G162" s="2"/>
      <c r="H162" s="2"/>
      <c r="I162" s="2"/>
      <c r="J162" s="2"/>
    </row>
    <row r="163" spans="1:10" s="25" customFormat="1">
      <c r="A163" s="50"/>
      <c r="E163" s="2"/>
      <c r="F163" s="2"/>
      <c r="G163" s="2"/>
      <c r="H163" s="2"/>
      <c r="I163" s="2"/>
      <c r="J163" s="2"/>
    </row>
    <row r="164" spans="1:10" s="25" customFormat="1">
      <c r="A164" s="50"/>
      <c r="E164" s="2"/>
      <c r="F164" s="2"/>
      <c r="G164" s="2"/>
      <c r="H164" s="2"/>
      <c r="I164" s="2"/>
      <c r="J164" s="2"/>
    </row>
    <row r="165" spans="1:10" s="25" customFormat="1">
      <c r="A165" s="50"/>
      <c r="E165" s="2"/>
      <c r="F165" s="2"/>
      <c r="G165" s="2"/>
      <c r="H165" s="2"/>
      <c r="I165" s="2"/>
      <c r="J165" s="2"/>
    </row>
    <row r="166" spans="1:10" s="25" customFormat="1">
      <c r="A166" s="50"/>
      <c r="E166" s="2"/>
      <c r="F166" s="2"/>
      <c r="G166" s="2"/>
      <c r="H166" s="2"/>
      <c r="I166" s="2"/>
      <c r="J166" s="2"/>
    </row>
    <row r="167" spans="1:10" s="25" customFormat="1">
      <c r="A167" s="50"/>
      <c r="E167" s="2"/>
      <c r="F167" s="2"/>
      <c r="G167" s="2"/>
      <c r="H167" s="2"/>
      <c r="I167" s="2"/>
      <c r="J167" s="2"/>
    </row>
    <row r="168" spans="1:10" s="25" customFormat="1">
      <c r="A168" s="50"/>
      <c r="E168" s="2"/>
      <c r="F168" s="2"/>
      <c r="G168" s="2"/>
      <c r="H168" s="2"/>
      <c r="I168" s="2"/>
      <c r="J168" s="2"/>
    </row>
    <row r="169" spans="1:10" s="25" customFormat="1">
      <c r="A169" s="50"/>
      <c r="E169" s="2"/>
      <c r="F169" s="2"/>
      <c r="G169" s="2"/>
      <c r="H169" s="2"/>
      <c r="I169" s="2"/>
      <c r="J169" s="2"/>
    </row>
    <row r="170" spans="1:10" s="25" customFormat="1">
      <c r="A170" s="50"/>
      <c r="E170" s="2"/>
      <c r="F170" s="2"/>
      <c r="G170" s="2"/>
      <c r="H170" s="2"/>
      <c r="I170" s="2"/>
      <c r="J170" s="2"/>
    </row>
    <row r="171" spans="1:10" s="25" customFormat="1">
      <c r="A171" s="50"/>
      <c r="E171" s="2"/>
      <c r="F171" s="2"/>
      <c r="G171" s="2"/>
      <c r="H171" s="2"/>
      <c r="I171" s="2"/>
      <c r="J171" s="2"/>
    </row>
    <row r="172" spans="1:10" s="25" customFormat="1">
      <c r="A172" s="50"/>
      <c r="E172" s="2"/>
      <c r="F172" s="2"/>
      <c r="G172" s="2"/>
      <c r="H172" s="2"/>
      <c r="I172" s="2"/>
      <c r="J172" s="2"/>
    </row>
    <row r="173" spans="1:10" s="25" customFormat="1">
      <c r="A173" s="50"/>
      <c r="E173" s="2"/>
      <c r="F173" s="2"/>
      <c r="G173" s="2"/>
      <c r="H173" s="2"/>
      <c r="I173" s="2"/>
      <c r="J173" s="2"/>
    </row>
    <row r="174" spans="1:10" s="25" customFormat="1">
      <c r="A174" s="50"/>
      <c r="E174" s="2"/>
      <c r="F174" s="2"/>
      <c r="G174" s="2"/>
      <c r="H174" s="2"/>
      <c r="I174" s="2"/>
      <c r="J174" s="2"/>
    </row>
    <row r="175" spans="1:10" s="25" customFormat="1">
      <c r="A175" s="50"/>
      <c r="E175" s="2"/>
      <c r="F175" s="2"/>
      <c r="G175" s="2"/>
      <c r="H175" s="2"/>
      <c r="I175" s="2"/>
      <c r="J175" s="2"/>
    </row>
    <row r="176" spans="1:10" s="25" customFormat="1">
      <c r="A176" s="50"/>
      <c r="E176" s="2"/>
      <c r="F176" s="2"/>
      <c r="G176" s="2"/>
      <c r="H176" s="2"/>
      <c r="I176" s="2"/>
      <c r="J176" s="2"/>
    </row>
    <row r="177" spans="1:10" s="25" customFormat="1">
      <c r="A177" s="50"/>
      <c r="E177" s="2"/>
      <c r="F177" s="2"/>
      <c r="G177" s="2"/>
      <c r="H177" s="2"/>
      <c r="I177" s="2"/>
      <c r="J177" s="2"/>
    </row>
    <row r="178" spans="1:10" s="25" customFormat="1">
      <c r="A178" s="50"/>
      <c r="E178" s="2"/>
      <c r="F178" s="2"/>
      <c r="G178" s="2"/>
      <c r="H178" s="2"/>
      <c r="I178" s="2"/>
      <c r="J178" s="2"/>
    </row>
    <row r="179" spans="1:10" s="25" customFormat="1">
      <c r="A179" s="50"/>
      <c r="E179" s="2"/>
      <c r="F179" s="2"/>
      <c r="G179" s="2"/>
      <c r="H179" s="2"/>
      <c r="I179" s="2"/>
      <c r="J179" s="2"/>
    </row>
    <row r="180" spans="1:10" s="25" customFormat="1">
      <c r="A180" s="50"/>
      <c r="E180" s="2"/>
      <c r="F180" s="2"/>
      <c r="G180" s="2"/>
      <c r="H180" s="2"/>
      <c r="I180" s="2"/>
      <c r="J180" s="2"/>
    </row>
    <row r="181" spans="1:10" s="25" customFormat="1">
      <c r="A181" s="50"/>
      <c r="E181" s="2"/>
      <c r="F181" s="2"/>
      <c r="G181" s="2"/>
      <c r="H181" s="2"/>
      <c r="I181" s="2"/>
      <c r="J181" s="2"/>
    </row>
    <row r="182" spans="1:10" s="25" customFormat="1">
      <c r="A182" s="50"/>
      <c r="E182" s="2"/>
      <c r="F182" s="2"/>
      <c r="G182" s="2"/>
      <c r="H182" s="2"/>
      <c r="I182" s="2"/>
      <c r="J182" s="2"/>
    </row>
    <row r="183" spans="1:10" s="25" customFormat="1">
      <c r="A183" s="50"/>
      <c r="E183" s="2"/>
      <c r="F183" s="2"/>
      <c r="G183" s="2"/>
      <c r="H183" s="2"/>
      <c r="I183" s="2"/>
      <c r="J183" s="2"/>
    </row>
    <row r="184" spans="1:10" s="25" customFormat="1">
      <c r="A184" s="50"/>
      <c r="E184" s="2"/>
      <c r="F184" s="2"/>
      <c r="G184" s="2"/>
      <c r="H184" s="2"/>
      <c r="I184" s="2"/>
      <c r="J184" s="2"/>
    </row>
    <row r="185" spans="1:10" s="25" customFormat="1">
      <c r="A185" s="50"/>
      <c r="E185" s="2"/>
      <c r="F185" s="2"/>
      <c r="G185" s="2"/>
      <c r="H185" s="2"/>
      <c r="I185" s="2"/>
      <c r="J185" s="2"/>
    </row>
    <row r="186" spans="1:10" s="25" customFormat="1">
      <c r="A186" s="50"/>
      <c r="E186" s="2"/>
      <c r="F186" s="2"/>
      <c r="G186" s="2"/>
      <c r="H186" s="2"/>
      <c r="I186" s="2"/>
      <c r="J186" s="2"/>
    </row>
    <row r="187" spans="1:10" s="25" customFormat="1">
      <c r="A187" s="50"/>
      <c r="E187" s="2"/>
      <c r="F187" s="2"/>
      <c r="G187" s="2"/>
      <c r="H187" s="2"/>
      <c r="I187" s="2"/>
      <c r="J187" s="2"/>
    </row>
    <row r="188" spans="1:10" s="25" customFormat="1">
      <c r="A188" s="50"/>
      <c r="E188" s="2"/>
      <c r="F188" s="2"/>
      <c r="G188" s="2"/>
      <c r="H188" s="2"/>
      <c r="I188" s="2"/>
      <c r="J188" s="2"/>
    </row>
    <row r="189" spans="1:10" s="25" customFormat="1">
      <c r="A189" s="50"/>
      <c r="E189" s="2"/>
      <c r="F189" s="2"/>
      <c r="G189" s="2"/>
      <c r="H189" s="2"/>
      <c r="I189" s="2"/>
      <c r="J189" s="2"/>
    </row>
    <row r="190" spans="1:10" s="25" customFormat="1">
      <c r="A190" s="50"/>
      <c r="E190" s="2"/>
      <c r="F190" s="2"/>
      <c r="G190" s="2"/>
      <c r="H190" s="2"/>
      <c r="I190" s="2"/>
      <c r="J190" s="2"/>
    </row>
    <row r="191" spans="1:10" s="25" customFormat="1">
      <c r="A191" s="50"/>
      <c r="E191" s="2"/>
      <c r="F191" s="2"/>
      <c r="G191" s="2"/>
      <c r="H191" s="2"/>
      <c r="I191" s="2"/>
      <c r="J191" s="2"/>
    </row>
    <row r="192" spans="1:10" s="25" customFormat="1">
      <c r="A192" s="50"/>
      <c r="E192" s="2"/>
      <c r="F192" s="2"/>
      <c r="G192" s="2"/>
      <c r="H192" s="2"/>
      <c r="I192" s="2"/>
      <c r="J192" s="2"/>
    </row>
    <row r="193" spans="1:10" s="25" customFormat="1">
      <c r="A193" s="50"/>
      <c r="E193" s="2"/>
      <c r="F193" s="2"/>
      <c r="G193" s="2"/>
      <c r="H193" s="2"/>
      <c r="I193" s="2"/>
      <c r="J193" s="2"/>
    </row>
    <row r="194" spans="1:10" s="25" customFormat="1">
      <c r="A194" s="50"/>
      <c r="E194" s="2"/>
      <c r="F194" s="2"/>
      <c r="G194" s="2"/>
      <c r="H194" s="2"/>
      <c r="I194" s="2"/>
      <c r="J194" s="2"/>
    </row>
    <row r="195" spans="1:10" s="25" customFormat="1">
      <c r="A195" s="50"/>
      <c r="E195" s="2"/>
      <c r="F195" s="2"/>
      <c r="G195" s="2"/>
      <c r="H195" s="2"/>
      <c r="I195" s="2"/>
      <c r="J195" s="2"/>
    </row>
    <row r="196" spans="1:10" s="25" customFormat="1">
      <c r="A196" s="50"/>
      <c r="E196" s="2"/>
      <c r="F196" s="2"/>
      <c r="G196" s="2"/>
      <c r="H196" s="2"/>
      <c r="I196" s="2"/>
      <c r="J196" s="2"/>
    </row>
    <row r="197" spans="1:10" s="25" customFormat="1">
      <c r="A197" s="50"/>
      <c r="E197" s="2"/>
      <c r="F197" s="2"/>
      <c r="G197" s="2"/>
      <c r="H197" s="2"/>
      <c r="I197" s="2"/>
      <c r="J197" s="2"/>
    </row>
    <row r="198" spans="1:10" s="25" customFormat="1">
      <c r="A198" s="50"/>
      <c r="E198" s="2"/>
      <c r="F198" s="2"/>
      <c r="G198" s="2"/>
      <c r="H198" s="2"/>
      <c r="I198" s="2"/>
      <c r="J198" s="2"/>
    </row>
    <row r="199" spans="1:10" s="25" customFormat="1">
      <c r="A199" s="50"/>
      <c r="E199" s="2"/>
      <c r="F199" s="2"/>
      <c r="G199" s="2"/>
      <c r="H199" s="2"/>
      <c r="I199" s="2"/>
      <c r="J199" s="2"/>
    </row>
    <row r="200" spans="1:10" s="25" customFormat="1">
      <c r="A200" s="50"/>
      <c r="E200" s="2"/>
      <c r="F200" s="2"/>
      <c r="G200" s="2"/>
      <c r="H200" s="2"/>
      <c r="I200" s="2"/>
      <c r="J200" s="2"/>
    </row>
    <row r="201" spans="1:10" s="25" customFormat="1">
      <c r="A201" s="50"/>
      <c r="E201" s="2"/>
      <c r="F201" s="2"/>
      <c r="G201" s="2"/>
      <c r="H201" s="2"/>
      <c r="I201" s="2"/>
      <c r="J201" s="2"/>
    </row>
    <row r="202" spans="1:10" s="25" customFormat="1">
      <c r="A202" s="50"/>
      <c r="E202" s="2"/>
      <c r="F202" s="2"/>
      <c r="G202" s="2"/>
      <c r="H202" s="2"/>
      <c r="I202" s="2"/>
      <c r="J202" s="2"/>
    </row>
    <row r="203" spans="1:10" s="25" customFormat="1">
      <c r="A203" s="50"/>
      <c r="E203" s="2"/>
      <c r="F203" s="2"/>
      <c r="G203" s="2"/>
      <c r="H203" s="2"/>
      <c r="I203" s="2"/>
      <c r="J203" s="2"/>
    </row>
    <row r="204" spans="1:10" s="25" customFormat="1">
      <c r="A204" s="50"/>
      <c r="E204" s="2"/>
      <c r="F204" s="2"/>
      <c r="G204" s="2"/>
      <c r="H204" s="2"/>
      <c r="I204" s="2"/>
      <c r="J204" s="2"/>
    </row>
    <row r="205" spans="1:10" s="25" customFormat="1">
      <c r="A205" s="50"/>
      <c r="E205" s="2"/>
      <c r="F205" s="2"/>
      <c r="G205" s="2"/>
      <c r="H205" s="2"/>
      <c r="I205" s="2"/>
      <c r="J205" s="2"/>
    </row>
    <row r="206" spans="1:10" s="25" customFormat="1">
      <c r="A206" s="50"/>
      <c r="E206" s="2"/>
      <c r="F206" s="2"/>
      <c r="G206" s="2"/>
      <c r="H206" s="2"/>
      <c r="I206" s="2"/>
      <c r="J206" s="2"/>
    </row>
    <row r="207" spans="1:10" s="25" customFormat="1">
      <c r="A207" s="50"/>
      <c r="E207" s="2"/>
      <c r="F207" s="2"/>
      <c r="G207" s="2"/>
      <c r="H207" s="2"/>
      <c r="I207" s="2"/>
      <c r="J207" s="2"/>
    </row>
    <row r="208" spans="1:10" s="25" customFormat="1">
      <c r="A208" s="50"/>
      <c r="E208" s="2"/>
      <c r="F208" s="2"/>
      <c r="G208" s="2"/>
      <c r="H208" s="2"/>
      <c r="I208" s="2"/>
      <c r="J208" s="2"/>
    </row>
    <row r="209" spans="1:10" s="25" customFormat="1">
      <c r="A209" s="50"/>
      <c r="E209" s="2"/>
      <c r="F209" s="2"/>
      <c r="G209" s="2"/>
      <c r="H209" s="2"/>
      <c r="I209" s="2"/>
      <c r="J209" s="2"/>
    </row>
    <row r="210" spans="1:10" s="25" customFormat="1">
      <c r="A210" s="50"/>
      <c r="E210" s="2"/>
      <c r="F210" s="2"/>
      <c r="G210" s="2"/>
      <c r="H210" s="2"/>
      <c r="I210" s="2"/>
      <c r="J210" s="2"/>
    </row>
    <row r="211" spans="1:10" s="25" customFormat="1">
      <c r="A211" s="50"/>
      <c r="E211" s="2"/>
      <c r="F211" s="2"/>
      <c r="G211" s="2"/>
      <c r="H211" s="2"/>
      <c r="I211" s="2"/>
      <c r="J211" s="2"/>
    </row>
    <row r="212" spans="1:10" s="25" customFormat="1">
      <c r="A212" s="50"/>
      <c r="E212" s="2"/>
      <c r="F212" s="2"/>
      <c r="G212" s="2"/>
      <c r="H212" s="2"/>
      <c r="I212" s="2"/>
      <c r="J212" s="2"/>
    </row>
    <row r="213" spans="1:10" s="25" customFormat="1">
      <c r="A213" s="50"/>
      <c r="E213" s="2"/>
      <c r="F213" s="2"/>
      <c r="G213" s="2"/>
      <c r="H213" s="2"/>
      <c r="I213" s="2"/>
      <c r="J213" s="2"/>
    </row>
    <row r="214" spans="1:10" s="25" customFormat="1">
      <c r="A214" s="50"/>
      <c r="E214" s="2"/>
      <c r="F214" s="2"/>
      <c r="G214" s="2"/>
      <c r="H214" s="2"/>
      <c r="I214" s="2"/>
      <c r="J214" s="2"/>
    </row>
    <row r="215" spans="1:10" s="25" customFormat="1">
      <c r="A215" s="50"/>
      <c r="E215" s="2"/>
      <c r="F215" s="2"/>
      <c r="G215" s="2"/>
      <c r="H215" s="2"/>
      <c r="I215" s="2"/>
      <c r="J215" s="2"/>
    </row>
    <row r="216" spans="1:10" s="25" customFormat="1">
      <c r="A216" s="50"/>
      <c r="E216" s="2"/>
      <c r="F216" s="2"/>
      <c r="G216" s="2"/>
      <c r="H216" s="2"/>
      <c r="I216" s="2"/>
      <c r="J216" s="2"/>
    </row>
    <row r="217" spans="1:10" s="25" customFormat="1">
      <c r="A217" s="50"/>
      <c r="E217" s="2"/>
      <c r="F217" s="2"/>
      <c r="G217" s="2"/>
      <c r="H217" s="2"/>
      <c r="I217" s="2"/>
      <c r="J217" s="2"/>
    </row>
    <row r="218" spans="1:10" s="25" customFormat="1">
      <c r="A218" s="50"/>
      <c r="E218" s="2"/>
      <c r="F218" s="2"/>
      <c r="G218" s="2"/>
      <c r="H218" s="2"/>
      <c r="I218" s="2"/>
      <c r="J218" s="2"/>
    </row>
    <row r="219" spans="1:10" s="25" customFormat="1">
      <c r="A219" s="50"/>
      <c r="E219" s="2"/>
      <c r="F219" s="2"/>
      <c r="G219" s="2"/>
      <c r="H219" s="2"/>
      <c r="I219" s="2"/>
      <c r="J219" s="2"/>
    </row>
    <row r="220" spans="1:10" s="25" customFormat="1">
      <c r="A220" s="50"/>
      <c r="E220" s="2"/>
      <c r="F220" s="2"/>
      <c r="G220" s="2"/>
      <c r="H220" s="2"/>
      <c r="I220" s="2"/>
      <c r="J220" s="2"/>
    </row>
    <row r="221" spans="1:10" s="25" customFormat="1">
      <c r="A221" s="50"/>
      <c r="E221" s="2"/>
      <c r="F221" s="2"/>
      <c r="G221" s="2"/>
      <c r="H221" s="2"/>
      <c r="I221" s="2"/>
      <c r="J221" s="2"/>
    </row>
    <row r="222" spans="1:10" s="25" customFormat="1">
      <c r="A222" s="50"/>
      <c r="E222" s="2"/>
      <c r="F222" s="2"/>
      <c r="G222" s="2"/>
      <c r="H222" s="2"/>
      <c r="I222" s="2"/>
      <c r="J222" s="2"/>
    </row>
    <row r="223" spans="1:10" s="25" customFormat="1">
      <c r="A223" s="50"/>
      <c r="E223" s="2"/>
      <c r="F223" s="2"/>
      <c r="G223" s="2"/>
      <c r="H223" s="2"/>
      <c r="I223" s="2"/>
      <c r="J223" s="2"/>
    </row>
    <row r="224" spans="1:10" s="25" customFormat="1">
      <c r="A224" s="50"/>
      <c r="E224" s="2"/>
      <c r="F224" s="2"/>
      <c r="G224" s="2"/>
      <c r="H224" s="2"/>
      <c r="I224" s="2"/>
      <c r="J224" s="2"/>
    </row>
    <row r="225" spans="1:10" s="25" customFormat="1">
      <c r="A225" s="50"/>
      <c r="E225" s="2"/>
      <c r="F225" s="2"/>
      <c r="G225" s="2"/>
      <c r="H225" s="2"/>
      <c r="I225" s="2"/>
      <c r="J225" s="2"/>
    </row>
    <row r="226" spans="1:10" s="25" customFormat="1">
      <c r="A226" s="50"/>
      <c r="E226" s="2"/>
      <c r="F226" s="2"/>
      <c r="G226" s="2"/>
      <c r="H226" s="2"/>
      <c r="I226" s="2"/>
      <c r="J226" s="2"/>
    </row>
    <row r="227" spans="1:10" s="25" customFormat="1">
      <c r="A227" s="50"/>
      <c r="E227" s="2"/>
      <c r="F227" s="2"/>
      <c r="G227" s="2"/>
      <c r="H227" s="2"/>
      <c r="I227" s="2"/>
      <c r="J227" s="2"/>
    </row>
    <row r="228" spans="1:10" s="25" customFormat="1">
      <c r="A228" s="50"/>
      <c r="E228" s="2"/>
      <c r="F228" s="2"/>
      <c r="G228" s="2"/>
      <c r="H228" s="2"/>
      <c r="I228" s="2"/>
      <c r="J228" s="2"/>
    </row>
    <row r="229" spans="1:10" s="25" customFormat="1">
      <c r="A229" s="50"/>
      <c r="E229" s="2"/>
      <c r="F229" s="2"/>
      <c r="G229" s="2"/>
      <c r="H229" s="2"/>
      <c r="I229" s="2"/>
      <c r="J229" s="2"/>
    </row>
    <row r="230" spans="1:10" s="25" customFormat="1">
      <c r="A230" s="50"/>
      <c r="E230" s="2"/>
      <c r="F230" s="2"/>
      <c r="G230" s="2"/>
      <c r="H230" s="2"/>
      <c r="I230" s="2"/>
      <c r="J230" s="2"/>
    </row>
    <row r="231" spans="1:10" s="25" customFormat="1">
      <c r="A231" s="50"/>
      <c r="E231" s="2"/>
      <c r="F231" s="2"/>
      <c r="G231" s="2"/>
      <c r="H231" s="2"/>
      <c r="I231" s="2"/>
      <c r="J231" s="2"/>
    </row>
    <row r="232" spans="1:10" s="25" customFormat="1">
      <c r="A232" s="50"/>
      <c r="E232" s="2"/>
      <c r="F232" s="2"/>
      <c r="G232" s="2"/>
      <c r="H232" s="2"/>
      <c r="I232" s="2"/>
      <c r="J232" s="2"/>
    </row>
    <row r="233" spans="1:10" s="25" customFormat="1">
      <c r="A233" s="50"/>
      <c r="E233" s="2"/>
      <c r="F233" s="2"/>
      <c r="G233" s="2"/>
      <c r="H233" s="2"/>
      <c r="I233" s="2"/>
      <c r="J233" s="2"/>
    </row>
    <row r="234" spans="1:10" s="25" customFormat="1">
      <c r="A234" s="50"/>
      <c r="E234" s="2"/>
      <c r="F234" s="2"/>
      <c r="G234" s="2"/>
      <c r="H234" s="2"/>
      <c r="I234" s="2"/>
      <c r="J234" s="2"/>
    </row>
    <row r="235" spans="1:10" s="25" customFormat="1">
      <c r="A235" s="50"/>
      <c r="E235" s="2"/>
      <c r="F235" s="2"/>
      <c r="G235" s="2"/>
      <c r="H235" s="2"/>
      <c r="I235" s="2"/>
      <c r="J235" s="2"/>
    </row>
    <row r="236" spans="1:10" s="25" customFormat="1">
      <c r="A236" s="50"/>
      <c r="E236" s="2"/>
      <c r="F236" s="2"/>
      <c r="G236" s="2"/>
      <c r="H236" s="2"/>
      <c r="I236" s="2"/>
      <c r="J236" s="2"/>
    </row>
    <row r="237" spans="1:10" s="25" customFormat="1">
      <c r="A237" s="50"/>
      <c r="E237" s="2"/>
      <c r="F237" s="2"/>
      <c r="G237" s="2"/>
      <c r="H237" s="2"/>
      <c r="I237" s="2"/>
      <c r="J237" s="2"/>
    </row>
    <row r="238" spans="1:10" s="25" customFormat="1">
      <c r="A238" s="50"/>
      <c r="E238" s="2"/>
      <c r="F238" s="2"/>
      <c r="G238" s="2"/>
      <c r="H238" s="2"/>
      <c r="I238" s="2"/>
      <c r="J238" s="2"/>
    </row>
    <row r="239" spans="1:10" s="25" customFormat="1">
      <c r="A239" s="50"/>
      <c r="E239" s="2"/>
      <c r="F239" s="2"/>
      <c r="G239" s="2"/>
      <c r="H239" s="2"/>
      <c r="I239" s="2"/>
      <c r="J239" s="2"/>
    </row>
    <row r="240" spans="1:10" s="25" customFormat="1">
      <c r="A240" s="50"/>
      <c r="E240" s="2"/>
      <c r="F240" s="2"/>
      <c r="G240" s="2"/>
      <c r="H240" s="2"/>
      <c r="I240" s="2"/>
      <c r="J240" s="2"/>
    </row>
    <row r="241" spans="1:10" s="25" customFormat="1">
      <c r="A241" s="50"/>
      <c r="E241" s="2"/>
      <c r="F241" s="2"/>
      <c r="G241" s="2"/>
      <c r="H241" s="2"/>
      <c r="I241" s="2"/>
      <c r="J241" s="2"/>
    </row>
    <row r="242" spans="1:10" s="25" customFormat="1">
      <c r="A242" s="50"/>
      <c r="E242" s="2"/>
      <c r="F242" s="2"/>
      <c r="G242" s="2"/>
      <c r="H242" s="2"/>
      <c r="I242" s="2"/>
      <c r="J242" s="2"/>
    </row>
    <row r="243" spans="1:10" s="25" customFormat="1">
      <c r="A243" s="50"/>
      <c r="E243" s="2"/>
      <c r="F243" s="2"/>
      <c r="G243" s="2"/>
      <c r="H243" s="2"/>
      <c r="I243" s="2"/>
      <c r="J243" s="2"/>
    </row>
    <row r="244" spans="1:10" s="25" customFormat="1">
      <c r="A244" s="50"/>
      <c r="E244" s="2"/>
      <c r="F244" s="2"/>
      <c r="G244" s="2"/>
      <c r="H244" s="2"/>
      <c r="I244" s="2"/>
      <c r="J244" s="2"/>
    </row>
    <row r="245" spans="1:10" s="25" customFormat="1">
      <c r="A245" s="50"/>
      <c r="E245" s="2"/>
      <c r="F245" s="2"/>
      <c r="G245" s="2"/>
      <c r="H245" s="2"/>
      <c r="I245" s="2"/>
      <c r="J245" s="2"/>
    </row>
    <row r="246" spans="1:10" s="25" customFormat="1">
      <c r="A246" s="50"/>
      <c r="E246" s="2"/>
      <c r="F246" s="2"/>
      <c r="G246" s="2"/>
      <c r="H246" s="2"/>
      <c r="I246" s="2"/>
      <c r="J246" s="2"/>
    </row>
    <row r="247" spans="1:10" s="25" customFormat="1">
      <c r="A247" s="50"/>
      <c r="E247" s="2"/>
      <c r="F247" s="2"/>
      <c r="G247" s="2"/>
      <c r="H247" s="2"/>
      <c r="I247" s="2"/>
      <c r="J247" s="2"/>
    </row>
    <row r="248" spans="1:10" s="25" customFormat="1">
      <c r="A248" s="50"/>
      <c r="E248" s="2"/>
      <c r="F248" s="2"/>
      <c r="G248" s="2"/>
      <c r="H248" s="2"/>
      <c r="I248" s="2"/>
      <c r="J248" s="2"/>
    </row>
    <row r="249" spans="1:10" s="25" customFormat="1">
      <c r="A249" s="50"/>
      <c r="E249" s="2"/>
      <c r="F249" s="2"/>
      <c r="G249" s="2"/>
      <c r="H249" s="2"/>
      <c r="I249" s="2"/>
      <c r="J249" s="2"/>
    </row>
    <row r="250" spans="1:10" s="25" customFormat="1">
      <c r="A250" s="50"/>
      <c r="E250" s="2"/>
      <c r="F250" s="2"/>
      <c r="G250" s="2"/>
      <c r="H250" s="2"/>
      <c r="I250" s="2"/>
      <c r="J250" s="2"/>
    </row>
    <row r="251" spans="1:10" s="25" customFormat="1">
      <c r="A251" s="50"/>
      <c r="E251" s="2"/>
      <c r="F251" s="2"/>
      <c r="G251" s="2"/>
      <c r="H251" s="2"/>
      <c r="I251" s="2"/>
      <c r="J251" s="2"/>
    </row>
    <row r="252" spans="1:10" s="25" customFormat="1">
      <c r="A252" s="50"/>
      <c r="E252" s="2"/>
      <c r="F252" s="2"/>
      <c r="G252" s="2"/>
      <c r="H252" s="2"/>
      <c r="I252" s="2"/>
      <c r="J252" s="2"/>
    </row>
    <row r="253" spans="1:10" s="25" customFormat="1">
      <c r="A253" s="50"/>
      <c r="E253" s="2"/>
      <c r="F253" s="2"/>
      <c r="G253" s="2"/>
      <c r="H253" s="2"/>
      <c r="I253" s="2"/>
      <c r="J253" s="2"/>
    </row>
    <row r="254" spans="1:10" s="25" customFormat="1">
      <c r="A254" s="50"/>
      <c r="E254" s="2"/>
      <c r="F254" s="2"/>
      <c r="G254" s="2"/>
      <c r="H254" s="2"/>
      <c r="I254" s="2"/>
      <c r="J254" s="2"/>
    </row>
    <row r="255" spans="1:10" s="25" customFormat="1">
      <c r="A255" s="50"/>
      <c r="E255" s="2"/>
      <c r="F255" s="2"/>
      <c r="G255" s="2"/>
      <c r="H255" s="2"/>
      <c r="I255" s="2"/>
      <c r="J255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4BF2F851-A775-4F33-8DA4-C59D9D94DA9D}" scale="80" showPageBreaks="1" printArea="1" view="pageBreakPreview" topLeftCell="A70">
      <selection activeCell="E76" sqref="E76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  <customSheetView guid="{43DCEB14-ADF8-4168-9283-6542A71D3CF7}" scale="90" showPageBreaks="1" printArea="1" view="pageBreakPreview" topLeftCell="A82">
      <selection activeCell="G13" sqref="G13"/>
      <pageMargins left="0.78740157480314965" right="0.39370078740157483" top="0.59055118110236227" bottom="0.59055118110236227" header="0.39370078740157483" footer="0.19685039370078741"/>
      <pageSetup paperSize="9" scale="50" orientation="portrait" r:id="rId3"/>
      <headerFooter alignWithMargins="0"/>
    </customSheetView>
  </customSheetViews>
  <mergeCells count="44">
    <mergeCell ref="C86:D86"/>
    <mergeCell ref="G86:I86"/>
    <mergeCell ref="B22:D22"/>
    <mergeCell ref="G22:I22"/>
    <mergeCell ref="E8:J8"/>
    <mergeCell ref="E10:J10"/>
    <mergeCell ref="B14:D14"/>
    <mergeCell ref="B15:D15"/>
    <mergeCell ref="B16:D16"/>
    <mergeCell ref="B17:D17"/>
    <mergeCell ref="B19:D19"/>
    <mergeCell ref="A72:J72"/>
    <mergeCell ref="A52:J52"/>
    <mergeCell ref="A23:D23"/>
    <mergeCell ref="B25:D25"/>
    <mergeCell ref="F33:F34"/>
    <mergeCell ref="A2:B2"/>
    <mergeCell ref="A3:B3"/>
    <mergeCell ref="E2:J4"/>
    <mergeCell ref="A4:B4"/>
    <mergeCell ref="C33:C34"/>
    <mergeCell ref="B18:H18"/>
    <mergeCell ref="B20:D20"/>
    <mergeCell ref="A21:D21"/>
    <mergeCell ref="G21:I21"/>
    <mergeCell ref="A31:J31"/>
    <mergeCell ref="A29:J29"/>
    <mergeCell ref="B26:D26"/>
    <mergeCell ref="A5:B6"/>
    <mergeCell ref="E5:J5"/>
    <mergeCell ref="E6:J6"/>
    <mergeCell ref="E7:J7"/>
    <mergeCell ref="B24:E24"/>
    <mergeCell ref="C85:D85"/>
    <mergeCell ref="G85:I85"/>
    <mergeCell ref="A33:A34"/>
    <mergeCell ref="B33:B34"/>
    <mergeCell ref="E33:E34"/>
    <mergeCell ref="G33:J33"/>
    <mergeCell ref="A36:J36"/>
    <mergeCell ref="A68:J68"/>
    <mergeCell ref="A59:J59"/>
    <mergeCell ref="D33:D34"/>
    <mergeCell ref="A66:J66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N335"/>
  <sheetViews>
    <sheetView view="pageBreakPreview" topLeftCell="A58" zoomScale="90" zoomScaleNormal="65" zoomScaleSheetLayoutView="70" workbookViewId="0">
      <selection activeCell="J15" sqref="J15"/>
    </sheetView>
  </sheetViews>
  <sheetFormatPr defaultColWidth="9.140625" defaultRowHeight="18.75"/>
  <cols>
    <col min="1" max="1" width="48.42578125" style="2" customWidth="1"/>
    <col min="2" max="2" width="14.85546875" style="25" customWidth="1"/>
    <col min="3" max="3" width="13.42578125" style="25" customWidth="1"/>
    <col min="4" max="4" width="13.7109375" style="25" customWidth="1"/>
    <col min="5" max="5" width="15.5703125" style="247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2" width="11.5703125" style="2" customWidth="1"/>
    <col min="13" max="13" width="12.7109375" style="2" customWidth="1"/>
    <col min="14" max="14" width="12" style="2" customWidth="1"/>
    <col min="15" max="16384" width="9.140625" style="2"/>
  </cols>
  <sheetData>
    <row r="1" spans="1:14">
      <c r="A1" s="375" t="s">
        <v>368</v>
      </c>
      <c r="B1" s="375"/>
      <c r="C1" s="375"/>
      <c r="D1" s="375"/>
      <c r="E1" s="375"/>
      <c r="F1" s="375"/>
      <c r="G1" s="375"/>
      <c r="H1" s="375"/>
      <c r="I1" s="375"/>
      <c r="J1" s="375"/>
    </row>
    <row r="2" spans="1:14">
      <c r="A2" s="42"/>
      <c r="B2" s="53"/>
      <c r="C2" s="42"/>
      <c r="D2" s="42"/>
      <c r="E2" s="238"/>
      <c r="F2" s="42"/>
      <c r="G2" s="42"/>
      <c r="H2" s="42"/>
      <c r="I2" s="42"/>
    </row>
    <row r="3" spans="1:14" ht="36" customHeight="1">
      <c r="A3" s="382" t="s">
        <v>271</v>
      </c>
      <c r="B3" s="378" t="s">
        <v>18</v>
      </c>
      <c r="C3" s="383" t="s">
        <v>31</v>
      </c>
      <c r="D3" s="388" t="s">
        <v>39</v>
      </c>
      <c r="E3" s="387" t="s">
        <v>180</v>
      </c>
      <c r="F3" s="378" t="s">
        <v>363</v>
      </c>
      <c r="G3" s="378"/>
      <c r="H3" s="378"/>
      <c r="I3" s="378"/>
      <c r="J3" s="378" t="s">
        <v>249</v>
      </c>
    </row>
    <row r="4" spans="1:14" ht="46.5" customHeight="1">
      <c r="A4" s="382"/>
      <c r="B4" s="378"/>
      <c r="C4" s="383"/>
      <c r="D4" s="388"/>
      <c r="E4" s="387"/>
      <c r="F4" s="13" t="s">
        <v>364</v>
      </c>
      <c r="G4" s="13" t="s">
        <v>365</v>
      </c>
      <c r="H4" s="13" t="s">
        <v>366</v>
      </c>
      <c r="I4" s="13" t="s">
        <v>86</v>
      </c>
      <c r="J4" s="378"/>
    </row>
    <row r="5" spans="1:14" ht="23.25" customHeight="1">
      <c r="A5" s="6">
        <v>1</v>
      </c>
      <c r="B5" s="7">
        <v>2</v>
      </c>
      <c r="C5" s="7">
        <v>3</v>
      </c>
      <c r="D5" s="7">
        <v>4</v>
      </c>
      <c r="E5" s="239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4" s="5" customFormat="1" ht="20.100000000000001" customHeight="1">
      <c r="A6" s="379" t="s">
        <v>278</v>
      </c>
      <c r="B6" s="380"/>
      <c r="C6" s="380"/>
      <c r="D6" s="380"/>
      <c r="E6" s="380"/>
      <c r="F6" s="380"/>
      <c r="G6" s="380"/>
      <c r="H6" s="380"/>
      <c r="I6" s="380"/>
      <c r="J6" s="381"/>
    </row>
    <row r="7" spans="1:14" s="5" customFormat="1" ht="42" customHeight="1">
      <c r="A7" s="72" t="s">
        <v>121</v>
      </c>
      <c r="B7" s="9">
        <v>1000</v>
      </c>
      <c r="C7" s="226">
        <f>C8</f>
        <v>2627</v>
      </c>
      <c r="D7" s="226">
        <f t="shared" ref="D7:I7" si="0">D8</f>
        <v>2430</v>
      </c>
      <c r="E7" s="226">
        <f t="shared" si="0"/>
        <v>2111</v>
      </c>
      <c r="F7" s="226">
        <f t="shared" si="0"/>
        <v>5</v>
      </c>
      <c r="G7" s="226">
        <f t="shared" si="0"/>
        <v>1600</v>
      </c>
      <c r="H7" s="226">
        <f t="shared" si="0"/>
        <v>2050</v>
      </c>
      <c r="I7" s="226">
        <f t="shared" si="0"/>
        <v>2050</v>
      </c>
      <c r="J7" s="141"/>
    </row>
    <row r="8" spans="1:14" s="5" customFormat="1" ht="24.75" customHeight="1">
      <c r="A8" s="72" t="s">
        <v>405</v>
      </c>
      <c r="B8" s="6" t="s">
        <v>381</v>
      </c>
      <c r="C8" s="168">
        <v>2627</v>
      </c>
      <c r="D8" s="168">
        <v>2430</v>
      </c>
      <c r="E8" s="224">
        <v>2111</v>
      </c>
      <c r="F8" s="168">
        <v>5</v>
      </c>
      <c r="G8" s="168">
        <v>1600</v>
      </c>
      <c r="H8" s="168">
        <v>2050</v>
      </c>
      <c r="I8" s="168">
        <v>2050</v>
      </c>
      <c r="J8" s="141"/>
    </row>
    <row r="9" spans="1:14" ht="40.5" customHeight="1">
      <c r="A9" s="72" t="s">
        <v>139</v>
      </c>
      <c r="B9" s="9">
        <v>1010</v>
      </c>
      <c r="C9" s="169">
        <f t="shared" ref="C9:I9" si="1">SUM(C10:C17)</f>
        <v>6625</v>
      </c>
      <c r="D9" s="169">
        <f t="shared" si="1"/>
        <v>6510</v>
      </c>
      <c r="E9" s="249">
        <f t="shared" si="1"/>
        <v>5825</v>
      </c>
      <c r="F9" s="169">
        <f t="shared" si="1"/>
        <v>1282</v>
      </c>
      <c r="G9" s="169">
        <f t="shared" si="1"/>
        <v>3371</v>
      </c>
      <c r="H9" s="169">
        <f t="shared" si="1"/>
        <v>4582</v>
      </c>
      <c r="I9" s="169">
        <f t="shared" si="1"/>
        <v>5792</v>
      </c>
      <c r="J9" s="140"/>
    </row>
    <row r="10" spans="1:14" s="1" customFormat="1" ht="20.100000000000001" customHeight="1">
      <c r="A10" s="72" t="s">
        <v>304</v>
      </c>
      <c r="B10" s="7">
        <v>1011</v>
      </c>
      <c r="C10" s="168"/>
      <c r="D10" s="168"/>
      <c r="E10" s="224"/>
      <c r="F10" s="171"/>
      <c r="G10" s="171"/>
      <c r="H10" s="171"/>
      <c r="I10" s="171"/>
      <c r="J10" s="140"/>
    </row>
    <row r="11" spans="1:14" s="1" customFormat="1" ht="20.100000000000001" customHeight="1">
      <c r="A11" s="72" t="s">
        <v>68</v>
      </c>
      <c r="B11" s="7">
        <v>1012</v>
      </c>
      <c r="C11" s="224">
        <v>177</v>
      </c>
      <c r="D11" s="224">
        <v>219</v>
      </c>
      <c r="E11" s="224">
        <v>219</v>
      </c>
      <c r="F11" s="224">
        <v>27</v>
      </c>
      <c r="G11" s="224">
        <v>111</v>
      </c>
      <c r="H11" s="224">
        <v>132</v>
      </c>
      <c r="I11" s="224">
        <v>219</v>
      </c>
      <c r="J11" s="140"/>
    </row>
    <row r="12" spans="1:14" s="1" customFormat="1" ht="20.100000000000001" customHeight="1">
      <c r="A12" s="72" t="s">
        <v>67</v>
      </c>
      <c r="B12" s="7">
        <v>1013</v>
      </c>
      <c r="C12" s="168">
        <v>958</v>
      </c>
      <c r="D12" s="168">
        <v>1156</v>
      </c>
      <c r="E12" s="224">
        <v>638</v>
      </c>
      <c r="F12" s="224">
        <f>104+79</f>
        <v>183</v>
      </c>
      <c r="G12" s="224">
        <f>480+158</f>
        <v>638</v>
      </c>
      <c r="H12" s="224">
        <f>720+237</f>
        <v>957</v>
      </c>
      <c r="I12" s="224">
        <f>840+316</f>
        <v>1156</v>
      </c>
      <c r="J12" s="140"/>
    </row>
    <row r="13" spans="1:14" s="1" customFormat="1" ht="20.100000000000001" customHeight="1">
      <c r="A13" s="72" t="s">
        <v>42</v>
      </c>
      <c r="B13" s="7">
        <v>1014</v>
      </c>
      <c r="C13" s="168">
        <v>3099</v>
      </c>
      <c r="D13" s="168">
        <v>2837</v>
      </c>
      <c r="E13" s="224">
        <v>2837</v>
      </c>
      <c r="F13" s="224">
        <f t="shared" ref="F13:I14" si="2">K13</f>
        <v>621</v>
      </c>
      <c r="G13" s="224">
        <f t="shared" si="2"/>
        <v>1242</v>
      </c>
      <c r="H13" s="224">
        <f t="shared" si="2"/>
        <v>1862</v>
      </c>
      <c r="I13" s="224">
        <f t="shared" si="2"/>
        <v>2483</v>
      </c>
      <c r="J13" s="140"/>
      <c r="K13" s="264">
        <f>ROUND(штатка!W39/1000,0)</f>
        <v>621</v>
      </c>
      <c r="L13" s="264">
        <f>ROUND(штатка!X39/1000,0)</f>
        <v>1242</v>
      </c>
      <c r="M13" s="264">
        <f>ROUND(штатка!Y39/1000,0)</f>
        <v>1862</v>
      </c>
      <c r="N13" s="264">
        <f>ROUND(штатка!Z39/1000,0)</f>
        <v>2483</v>
      </c>
    </row>
    <row r="14" spans="1:14" s="1" customFormat="1" ht="20.100000000000001" customHeight="1">
      <c r="A14" s="72" t="s">
        <v>43</v>
      </c>
      <c r="B14" s="7">
        <v>1015</v>
      </c>
      <c r="C14" s="168">
        <v>644</v>
      </c>
      <c r="D14" s="168">
        <v>611</v>
      </c>
      <c r="E14" s="224">
        <v>611</v>
      </c>
      <c r="F14" s="224">
        <f t="shared" si="2"/>
        <v>133</v>
      </c>
      <c r="G14" s="224">
        <f>L14-1</f>
        <v>264</v>
      </c>
      <c r="H14" s="224">
        <f t="shared" si="2"/>
        <v>398</v>
      </c>
      <c r="I14" s="224">
        <f t="shared" si="2"/>
        <v>531</v>
      </c>
      <c r="J14" s="140"/>
      <c r="K14" s="264">
        <f>ROUND(штатка!W40/1000,0)</f>
        <v>133</v>
      </c>
      <c r="L14" s="264">
        <f>ROUND(штатка!X40/1000,0)</f>
        <v>265</v>
      </c>
      <c r="M14" s="264">
        <f>ROUND(штатка!Y40/1000,0)</f>
        <v>398</v>
      </c>
      <c r="N14" s="264">
        <f>ROUND(штатка!Z40/1000,0)</f>
        <v>531</v>
      </c>
    </row>
    <row r="15" spans="1:14" s="1" customFormat="1" ht="76.5" customHeight="1">
      <c r="A15" s="72" t="s">
        <v>261</v>
      </c>
      <c r="B15" s="7">
        <v>1016</v>
      </c>
      <c r="C15" s="168">
        <v>1299</v>
      </c>
      <c r="D15" s="168">
        <v>1239</v>
      </c>
      <c r="E15" s="224">
        <v>1072</v>
      </c>
      <c r="F15" s="224">
        <v>244</v>
      </c>
      <c r="G15" s="224">
        <v>866</v>
      </c>
      <c r="H15" s="224">
        <v>866</v>
      </c>
      <c r="I15" s="224">
        <v>955</v>
      </c>
      <c r="J15" s="312"/>
      <c r="K15" s="311" t="s">
        <v>534</v>
      </c>
    </row>
    <row r="16" spans="1:14" s="1" customFormat="1" ht="37.5" customHeight="1">
      <c r="A16" s="72" t="s">
        <v>66</v>
      </c>
      <c r="B16" s="7">
        <v>1017</v>
      </c>
      <c r="C16" s="168">
        <v>268</v>
      </c>
      <c r="D16" s="168">
        <v>268</v>
      </c>
      <c r="E16" s="224">
        <v>268</v>
      </c>
      <c r="F16" s="224">
        <v>29</v>
      </c>
      <c r="G16" s="224">
        <v>160</v>
      </c>
      <c r="H16" s="224">
        <v>232</v>
      </c>
      <c r="I16" s="224">
        <v>268</v>
      </c>
      <c r="J16" s="140"/>
      <c r="K16" s="311" t="s">
        <v>531</v>
      </c>
    </row>
    <row r="17" spans="1:14" s="1" customFormat="1" ht="20.100000000000001" customHeight="1">
      <c r="A17" s="72" t="s">
        <v>137</v>
      </c>
      <c r="B17" s="7">
        <v>1018</v>
      </c>
      <c r="C17" s="168">
        <v>180</v>
      </c>
      <c r="D17" s="168">
        <v>180</v>
      </c>
      <c r="E17" s="224">
        <v>180</v>
      </c>
      <c r="F17" s="168">
        <v>45</v>
      </c>
      <c r="G17" s="168">
        <v>90</v>
      </c>
      <c r="H17" s="168">
        <v>135</v>
      </c>
      <c r="I17" s="168">
        <v>180</v>
      </c>
      <c r="J17" s="140"/>
      <c r="K17" s="311" t="s">
        <v>532</v>
      </c>
    </row>
    <row r="18" spans="1:14" s="1" customFormat="1" ht="20.100000000000001" customHeight="1">
      <c r="A18" s="72" t="s">
        <v>406</v>
      </c>
      <c r="B18" s="7" t="s">
        <v>384</v>
      </c>
      <c r="C18" s="168">
        <v>180</v>
      </c>
      <c r="D18" s="168">
        <v>180</v>
      </c>
      <c r="E18" s="224">
        <v>180</v>
      </c>
      <c r="F18" s="168">
        <v>45</v>
      </c>
      <c r="G18" s="168">
        <v>90</v>
      </c>
      <c r="H18" s="168">
        <v>135</v>
      </c>
      <c r="I18" s="168">
        <v>180</v>
      </c>
      <c r="J18" s="140"/>
      <c r="K18" s="311" t="s">
        <v>533</v>
      </c>
    </row>
    <row r="19" spans="1:14" s="5" customFormat="1" ht="20.100000000000001" customHeight="1">
      <c r="A19" s="159" t="s">
        <v>23</v>
      </c>
      <c r="B19" s="11">
        <v>1020</v>
      </c>
      <c r="C19" s="170">
        <f t="shared" ref="C19:I19" si="3">C7-C9</f>
        <v>-3998</v>
      </c>
      <c r="D19" s="170">
        <f t="shared" si="3"/>
        <v>-4080</v>
      </c>
      <c r="E19" s="250">
        <f t="shared" si="3"/>
        <v>-3714</v>
      </c>
      <c r="F19" s="170">
        <f t="shared" si="3"/>
        <v>-1277</v>
      </c>
      <c r="G19" s="170">
        <f t="shared" si="3"/>
        <v>-1771</v>
      </c>
      <c r="H19" s="170">
        <f t="shared" si="3"/>
        <v>-2532</v>
      </c>
      <c r="I19" s="170">
        <f t="shared" si="3"/>
        <v>-3742</v>
      </c>
      <c r="J19" s="141"/>
    </row>
    <row r="20" spans="1:14" ht="37.5">
      <c r="A20" s="72" t="s">
        <v>232</v>
      </c>
      <c r="B20" s="9">
        <v>1030</v>
      </c>
      <c r="C20" s="168">
        <v>6341</v>
      </c>
      <c r="D20" s="168">
        <v>6759</v>
      </c>
      <c r="E20" s="224">
        <v>6438</v>
      </c>
      <c r="F20" s="168">
        <f t="shared" ref="F20" si="4">F22</f>
        <v>1899</v>
      </c>
      <c r="G20" s="168">
        <f>G22</f>
        <v>3205</v>
      </c>
      <c r="H20" s="168">
        <f t="shared" ref="H20" si="5">H22</f>
        <v>4518</v>
      </c>
      <c r="I20" s="168">
        <v>6460</v>
      </c>
      <c r="J20" s="140"/>
    </row>
    <row r="21" spans="1:14">
      <c r="A21" s="72" t="s">
        <v>385</v>
      </c>
      <c r="B21" s="6" t="s">
        <v>386</v>
      </c>
      <c r="C21" s="168"/>
      <c r="D21" s="168"/>
      <c r="E21" s="224"/>
      <c r="F21" s="168"/>
      <c r="G21" s="168"/>
      <c r="H21" s="168"/>
      <c r="I21" s="168"/>
      <c r="J21" s="140"/>
    </row>
    <row r="22" spans="1:14">
      <c r="A22" s="225" t="s">
        <v>389</v>
      </c>
      <c r="B22" s="6" t="s">
        <v>388</v>
      </c>
      <c r="C22" s="168">
        <v>6341</v>
      </c>
      <c r="D22" s="168">
        <v>6759</v>
      </c>
      <c r="E22" s="224">
        <v>6438</v>
      </c>
      <c r="F22" s="224">
        <v>1899</v>
      </c>
      <c r="G22" s="224">
        <v>3205</v>
      </c>
      <c r="H22" s="224">
        <v>4518</v>
      </c>
      <c r="I22" s="224">
        <v>6460</v>
      </c>
      <c r="J22" s="312"/>
      <c r="K22" s="2">
        <f>6327+50</f>
        <v>6377</v>
      </c>
      <c r="L22" s="258">
        <f>K22-I22</f>
        <v>-83</v>
      </c>
    </row>
    <row r="23" spans="1:14" ht="20.100000000000001" customHeight="1">
      <c r="A23" s="72" t="s">
        <v>233</v>
      </c>
      <c r="B23" s="9">
        <v>1031</v>
      </c>
      <c r="C23" s="168"/>
      <c r="D23" s="168"/>
      <c r="E23" s="224"/>
      <c r="F23" s="171"/>
      <c r="G23" s="171"/>
      <c r="H23" s="171"/>
      <c r="I23" s="171"/>
      <c r="J23" s="140"/>
    </row>
    <row r="24" spans="1:14" ht="20.100000000000001" customHeight="1">
      <c r="A24" s="72" t="s">
        <v>240</v>
      </c>
      <c r="B24" s="9">
        <v>1040</v>
      </c>
      <c r="C24" s="169">
        <f t="shared" ref="C24:I24" si="6">SUM(C25:C46)</f>
        <v>2231</v>
      </c>
      <c r="D24" s="169">
        <f t="shared" si="6"/>
        <v>2898</v>
      </c>
      <c r="E24" s="249">
        <f t="shared" si="6"/>
        <v>2896</v>
      </c>
      <c r="F24" s="169">
        <f t="shared" si="6"/>
        <v>706</v>
      </c>
      <c r="G24" s="169">
        <f t="shared" si="6"/>
        <v>1494</v>
      </c>
      <c r="H24" s="169">
        <f t="shared" si="6"/>
        <v>2222</v>
      </c>
      <c r="I24" s="169">
        <f t="shared" si="6"/>
        <v>2949</v>
      </c>
      <c r="J24" s="140"/>
    </row>
    <row r="25" spans="1:14" ht="37.5">
      <c r="A25" s="72" t="s">
        <v>120</v>
      </c>
      <c r="B25" s="9">
        <v>1041</v>
      </c>
      <c r="C25" s="224">
        <v>279</v>
      </c>
      <c r="D25" s="224">
        <v>250</v>
      </c>
      <c r="E25" s="224">
        <v>250</v>
      </c>
      <c r="F25" s="224">
        <v>34</v>
      </c>
      <c r="G25" s="224">
        <v>128</v>
      </c>
      <c r="H25" s="224">
        <v>174</v>
      </c>
      <c r="I25" s="224">
        <v>250</v>
      </c>
      <c r="J25" s="274"/>
    </row>
    <row r="26" spans="1:14" ht="20.100000000000001" customHeight="1">
      <c r="A26" s="72" t="s">
        <v>222</v>
      </c>
      <c r="B26" s="9">
        <v>1042</v>
      </c>
      <c r="C26" s="168"/>
      <c r="D26" s="168"/>
      <c r="E26" s="224"/>
      <c r="F26" s="168"/>
      <c r="G26" s="168"/>
      <c r="H26" s="168"/>
      <c r="I26" s="168"/>
      <c r="J26" s="140"/>
    </row>
    <row r="27" spans="1:14" ht="20.100000000000001" customHeight="1">
      <c r="A27" s="72" t="s">
        <v>65</v>
      </c>
      <c r="B27" s="9">
        <v>1043</v>
      </c>
      <c r="C27" s="168"/>
      <c r="D27" s="168"/>
      <c r="E27" s="224"/>
      <c r="F27" s="168"/>
      <c r="G27" s="168"/>
      <c r="H27" s="168"/>
      <c r="I27" s="168"/>
      <c r="J27" s="140"/>
    </row>
    <row r="28" spans="1:14" ht="20.100000000000001" customHeight="1">
      <c r="A28" s="72" t="s">
        <v>21</v>
      </c>
      <c r="B28" s="9">
        <v>1044</v>
      </c>
      <c r="C28" s="168"/>
      <c r="D28" s="168"/>
      <c r="E28" s="224"/>
      <c r="F28" s="168"/>
      <c r="G28" s="168"/>
      <c r="H28" s="168"/>
      <c r="I28" s="168"/>
      <c r="J28" s="140"/>
    </row>
    <row r="29" spans="1:14" ht="20.100000000000001" customHeight="1">
      <c r="A29" s="72" t="s">
        <v>22</v>
      </c>
      <c r="B29" s="9">
        <v>1045</v>
      </c>
      <c r="C29" s="168"/>
      <c r="D29" s="168"/>
      <c r="E29" s="224"/>
      <c r="F29" s="168"/>
      <c r="G29" s="168"/>
      <c r="H29" s="168"/>
      <c r="I29" s="168"/>
      <c r="J29" s="140"/>
    </row>
    <row r="30" spans="1:14" s="1" customFormat="1" ht="20.100000000000001" customHeight="1">
      <c r="A30" s="72" t="s">
        <v>40</v>
      </c>
      <c r="B30" s="9">
        <v>1046</v>
      </c>
      <c r="C30" s="168">
        <v>32</v>
      </c>
      <c r="D30" s="168">
        <v>26</v>
      </c>
      <c r="E30" s="224">
        <v>24</v>
      </c>
      <c r="F30" s="168">
        <v>3</v>
      </c>
      <c r="G30" s="168">
        <v>20</v>
      </c>
      <c r="H30" s="168">
        <v>24</v>
      </c>
      <c r="I30" s="168">
        <v>26</v>
      </c>
      <c r="J30" s="140"/>
    </row>
    <row r="31" spans="1:14" s="1" customFormat="1" ht="20.100000000000001" customHeight="1">
      <c r="A31" s="72" t="s">
        <v>41</v>
      </c>
      <c r="B31" s="9">
        <v>1047</v>
      </c>
      <c r="C31" s="168">
        <v>9</v>
      </c>
      <c r="D31" s="168">
        <v>9</v>
      </c>
      <c r="E31" s="224">
        <v>9</v>
      </c>
      <c r="F31" s="224">
        <v>2</v>
      </c>
      <c r="G31" s="224">
        <v>3</v>
      </c>
      <c r="H31" s="224">
        <v>6</v>
      </c>
      <c r="I31" s="224">
        <v>9</v>
      </c>
      <c r="J31" s="140"/>
    </row>
    <row r="32" spans="1:14" s="1" customFormat="1" ht="20.100000000000001" customHeight="1">
      <c r="A32" s="72" t="s">
        <v>42</v>
      </c>
      <c r="B32" s="9">
        <v>1048</v>
      </c>
      <c r="C32" s="267">
        <v>1417</v>
      </c>
      <c r="D32" s="260">
        <v>2061</v>
      </c>
      <c r="E32" s="224">
        <v>2061</v>
      </c>
      <c r="F32" s="224">
        <f t="shared" ref="F32:I33" si="7">K32</f>
        <v>527</v>
      </c>
      <c r="G32" s="224">
        <f>L32</f>
        <v>1054</v>
      </c>
      <c r="H32" s="224">
        <f t="shared" si="7"/>
        <v>1580</v>
      </c>
      <c r="I32" s="224">
        <f t="shared" si="7"/>
        <v>2107</v>
      </c>
      <c r="J32" s="140"/>
      <c r="K32" s="264">
        <f>ROUND(штатка!W42/1000,0)</f>
        <v>527</v>
      </c>
      <c r="L32" s="264">
        <f>ROUND(штатка!X42/1000,0)</f>
        <v>1054</v>
      </c>
      <c r="M32" s="264">
        <f>ROUND(штатка!Y42/1000,0)</f>
        <v>1580</v>
      </c>
      <c r="N32" s="264">
        <f>ROUND(штатка!Z42/1000,0)</f>
        <v>2107</v>
      </c>
    </row>
    <row r="33" spans="1:14" s="1" customFormat="1" ht="20.100000000000001" customHeight="1">
      <c r="A33" s="72" t="s">
        <v>43</v>
      </c>
      <c r="B33" s="9">
        <v>1049</v>
      </c>
      <c r="C33" s="267">
        <v>290</v>
      </c>
      <c r="D33" s="260">
        <v>400</v>
      </c>
      <c r="E33" s="224">
        <v>400</v>
      </c>
      <c r="F33" s="224">
        <f t="shared" si="7"/>
        <v>101</v>
      </c>
      <c r="G33" s="224">
        <f t="shared" si="7"/>
        <v>203</v>
      </c>
      <c r="H33" s="224">
        <f t="shared" si="7"/>
        <v>304</v>
      </c>
      <c r="I33" s="224">
        <f t="shared" si="7"/>
        <v>405</v>
      </c>
      <c r="J33" s="140"/>
      <c r="K33" s="264">
        <f>ROUND(штатка!W43/1000,0)</f>
        <v>101</v>
      </c>
      <c r="L33" s="264">
        <f>ROUND(штатка!X43/1000,0)</f>
        <v>203</v>
      </c>
      <c r="M33" s="264">
        <f>ROUND(штатка!Y43/1000,0)</f>
        <v>304</v>
      </c>
      <c r="N33" s="264">
        <f>ROUND(штатка!Z43/1000,0)</f>
        <v>405</v>
      </c>
    </row>
    <row r="34" spans="1:14" s="1" customFormat="1" ht="56.25">
      <c r="A34" s="72" t="s">
        <v>44</v>
      </c>
      <c r="B34" s="9">
        <v>1050</v>
      </c>
      <c r="C34" s="168"/>
      <c r="D34" s="168"/>
      <c r="E34" s="224"/>
      <c r="F34" s="266"/>
      <c r="G34" s="266"/>
      <c r="H34" s="266"/>
      <c r="I34" s="266"/>
      <c r="J34" s="140"/>
      <c r="K34" s="311" t="s">
        <v>535</v>
      </c>
    </row>
    <row r="35" spans="1:14" s="1" customFormat="1" ht="56.25">
      <c r="A35" s="72" t="s">
        <v>45</v>
      </c>
      <c r="B35" s="9">
        <v>1051</v>
      </c>
      <c r="C35" s="168"/>
      <c r="D35" s="168"/>
      <c r="E35" s="224"/>
      <c r="F35" s="171"/>
      <c r="G35" s="171"/>
      <c r="H35" s="171"/>
      <c r="I35" s="171"/>
      <c r="J35" s="140"/>
      <c r="K35" s="311" t="s">
        <v>536</v>
      </c>
    </row>
    <row r="36" spans="1:14" s="1" customFormat="1" ht="37.5">
      <c r="A36" s="72" t="s">
        <v>46</v>
      </c>
      <c r="B36" s="9">
        <v>1052</v>
      </c>
      <c r="C36" s="168"/>
      <c r="D36" s="168"/>
      <c r="E36" s="224"/>
      <c r="F36" s="171"/>
      <c r="G36" s="171"/>
      <c r="H36" s="171"/>
      <c r="I36" s="171"/>
      <c r="J36" s="140"/>
      <c r="K36" s="311" t="s">
        <v>537</v>
      </c>
    </row>
    <row r="37" spans="1:14" s="1" customFormat="1" ht="37.5">
      <c r="A37" s="72" t="s">
        <v>47</v>
      </c>
      <c r="B37" s="9">
        <v>1053</v>
      </c>
      <c r="C37" s="168"/>
      <c r="D37" s="168"/>
      <c r="E37" s="224"/>
      <c r="F37" s="171"/>
      <c r="G37" s="171"/>
      <c r="H37" s="171"/>
      <c r="I37" s="171"/>
      <c r="J37" s="140"/>
    </row>
    <row r="38" spans="1:14" s="1" customFormat="1" ht="20.100000000000001" customHeight="1">
      <c r="A38" s="72" t="s">
        <v>48</v>
      </c>
      <c r="B38" s="9">
        <v>1054</v>
      </c>
      <c r="C38" s="168">
        <v>40</v>
      </c>
      <c r="D38" s="168">
        <v>20</v>
      </c>
      <c r="E38" s="224">
        <v>20</v>
      </c>
      <c r="F38" s="168">
        <v>5</v>
      </c>
      <c r="G38" s="168">
        <v>10</v>
      </c>
      <c r="H38" s="168">
        <v>15</v>
      </c>
      <c r="I38" s="168">
        <v>20</v>
      </c>
      <c r="J38" s="140"/>
    </row>
    <row r="39" spans="1:14" s="1" customFormat="1" ht="20.100000000000001" customHeight="1">
      <c r="A39" s="72" t="s">
        <v>69</v>
      </c>
      <c r="B39" s="9">
        <v>1055</v>
      </c>
      <c r="C39" s="168">
        <v>30</v>
      </c>
      <c r="D39" s="168">
        <v>30</v>
      </c>
      <c r="E39" s="224">
        <v>30</v>
      </c>
      <c r="F39" s="168">
        <v>5</v>
      </c>
      <c r="G39" s="168">
        <v>10</v>
      </c>
      <c r="H39" s="168">
        <v>20</v>
      </c>
      <c r="I39" s="168">
        <v>30</v>
      </c>
      <c r="J39" s="140"/>
    </row>
    <row r="40" spans="1:14" s="1" customFormat="1" ht="20.100000000000001" customHeight="1">
      <c r="A40" s="72" t="s">
        <v>49</v>
      </c>
      <c r="B40" s="9">
        <v>1056</v>
      </c>
      <c r="C40" s="168"/>
      <c r="D40" s="168"/>
      <c r="E40" s="224"/>
      <c r="F40" s="171"/>
      <c r="G40" s="171"/>
      <c r="H40" s="171"/>
      <c r="I40" s="171"/>
      <c r="J40" s="140"/>
    </row>
    <row r="41" spans="1:14" s="1" customFormat="1" ht="20.100000000000001" customHeight="1">
      <c r="A41" s="72" t="s">
        <v>50</v>
      </c>
      <c r="B41" s="9">
        <v>1057</v>
      </c>
      <c r="C41" s="168"/>
      <c r="D41" s="168"/>
      <c r="E41" s="224"/>
      <c r="F41" s="171"/>
      <c r="G41" s="171"/>
      <c r="H41" s="171"/>
      <c r="I41" s="171"/>
      <c r="J41" s="140"/>
    </row>
    <row r="42" spans="1:14" s="1" customFormat="1" ht="37.5">
      <c r="A42" s="72" t="s">
        <v>51</v>
      </c>
      <c r="B42" s="9">
        <v>1058</v>
      </c>
      <c r="C42" s="168">
        <v>80</v>
      </c>
      <c r="D42" s="168">
        <v>60</v>
      </c>
      <c r="E42" s="224">
        <v>60</v>
      </c>
      <c r="F42" s="168">
        <v>20</v>
      </c>
      <c r="G42" s="168">
        <v>40</v>
      </c>
      <c r="H42" s="168">
        <v>60</v>
      </c>
      <c r="I42" s="168">
        <v>60</v>
      </c>
      <c r="J42" s="140"/>
    </row>
    <row r="43" spans="1:14" s="1" customFormat="1" ht="37.5">
      <c r="A43" s="72" t="s">
        <v>52</v>
      </c>
      <c r="B43" s="9">
        <v>1059</v>
      </c>
      <c r="C43" s="168"/>
      <c r="D43" s="168"/>
      <c r="E43" s="224"/>
      <c r="F43" s="171"/>
      <c r="G43" s="171"/>
      <c r="H43" s="171"/>
      <c r="I43" s="171"/>
      <c r="J43" s="140"/>
    </row>
    <row r="44" spans="1:14" s="1" customFormat="1" ht="75">
      <c r="A44" s="72" t="s">
        <v>82</v>
      </c>
      <c r="B44" s="9">
        <v>1060</v>
      </c>
      <c r="C44" s="168"/>
      <c r="D44" s="168"/>
      <c r="E44" s="224"/>
      <c r="F44" s="171"/>
      <c r="G44" s="171"/>
      <c r="H44" s="171"/>
      <c r="I44" s="171"/>
      <c r="J44" s="140"/>
    </row>
    <row r="45" spans="1:14" s="1" customFormat="1" ht="20.25" customHeight="1">
      <c r="A45" s="72" t="s">
        <v>53</v>
      </c>
      <c r="B45" s="9">
        <v>1061</v>
      </c>
      <c r="C45" s="168"/>
      <c r="D45" s="168"/>
      <c r="E45" s="224"/>
      <c r="F45" s="171"/>
      <c r="G45" s="171"/>
      <c r="H45" s="171"/>
      <c r="I45" s="171"/>
      <c r="J45" s="140"/>
    </row>
    <row r="46" spans="1:14" s="1" customFormat="1" ht="42" customHeight="1">
      <c r="A46" s="72" t="s">
        <v>390</v>
      </c>
      <c r="B46" s="9">
        <v>1062</v>
      </c>
      <c r="C46" s="168">
        <f>C47+C48</f>
        <v>54</v>
      </c>
      <c r="D46" s="168">
        <f>D47+D48</f>
        <v>42</v>
      </c>
      <c r="E46" s="168">
        <f t="shared" ref="E46:I46" si="8">E47+E48</f>
        <v>42</v>
      </c>
      <c r="F46" s="168">
        <f t="shared" si="8"/>
        <v>9</v>
      </c>
      <c r="G46" s="168">
        <f t="shared" si="8"/>
        <v>26</v>
      </c>
      <c r="H46" s="168">
        <f t="shared" si="8"/>
        <v>39</v>
      </c>
      <c r="I46" s="168">
        <f t="shared" si="8"/>
        <v>42</v>
      </c>
      <c r="J46" s="140"/>
    </row>
    <row r="47" spans="1:14" s="1" customFormat="1">
      <c r="A47" s="72" t="s">
        <v>404</v>
      </c>
      <c r="B47" s="6" t="s">
        <v>382</v>
      </c>
      <c r="C47" s="168">
        <v>42</v>
      </c>
      <c r="D47" s="168">
        <v>32</v>
      </c>
      <c r="E47" s="224">
        <v>32</v>
      </c>
      <c r="F47" s="168">
        <v>6</v>
      </c>
      <c r="G47" s="168">
        <v>20</v>
      </c>
      <c r="H47" s="168">
        <v>30</v>
      </c>
      <c r="I47" s="168">
        <v>32</v>
      </c>
      <c r="J47" s="140"/>
    </row>
    <row r="48" spans="1:14" s="1" customFormat="1">
      <c r="A48" s="160" t="s">
        <v>383</v>
      </c>
      <c r="B48" s="269" t="s">
        <v>526</v>
      </c>
      <c r="C48" s="168">
        <v>12</v>
      </c>
      <c r="D48" s="168">
        <v>10</v>
      </c>
      <c r="E48" s="224">
        <v>10</v>
      </c>
      <c r="F48" s="168">
        <v>3</v>
      </c>
      <c r="G48" s="168">
        <v>6</v>
      </c>
      <c r="H48" s="168">
        <v>9</v>
      </c>
      <c r="I48" s="168">
        <v>10</v>
      </c>
      <c r="J48" s="270"/>
    </row>
    <row r="49" spans="1:10" ht="20.100000000000001" customHeight="1">
      <c r="A49" s="72" t="s">
        <v>241</v>
      </c>
      <c r="B49" s="9">
        <v>1070</v>
      </c>
      <c r="C49" s="169">
        <f>SUM(C50:C55)</f>
        <v>0</v>
      </c>
      <c r="D49" s="169">
        <f t="shared" ref="D49:I49" si="9">SUM(D50:D55)</f>
        <v>0</v>
      </c>
      <c r="E49" s="249">
        <f t="shared" si="9"/>
        <v>0</v>
      </c>
      <c r="F49" s="169">
        <f t="shared" si="9"/>
        <v>0</v>
      </c>
      <c r="G49" s="169">
        <f t="shared" si="9"/>
        <v>0</v>
      </c>
      <c r="H49" s="169">
        <f t="shared" si="9"/>
        <v>0</v>
      </c>
      <c r="I49" s="169">
        <f t="shared" si="9"/>
        <v>0</v>
      </c>
      <c r="J49" s="140"/>
    </row>
    <row r="50" spans="1:10" s="1" customFormat="1" ht="20.100000000000001" customHeight="1">
      <c r="A50" s="72" t="s">
        <v>200</v>
      </c>
      <c r="B50" s="9">
        <v>1071</v>
      </c>
      <c r="C50" s="168"/>
      <c r="D50" s="168"/>
      <c r="E50" s="224"/>
      <c r="F50" s="168"/>
      <c r="G50" s="168"/>
      <c r="H50" s="168"/>
      <c r="I50" s="168"/>
      <c r="J50" s="140"/>
    </row>
    <row r="51" spans="1:10" s="1" customFormat="1" ht="20.100000000000001" customHeight="1">
      <c r="A51" s="72" t="s">
        <v>201</v>
      </c>
      <c r="B51" s="9">
        <v>1072</v>
      </c>
      <c r="C51" s="168"/>
      <c r="D51" s="168"/>
      <c r="E51" s="224"/>
      <c r="F51" s="168"/>
      <c r="G51" s="168"/>
      <c r="H51" s="168"/>
      <c r="I51" s="168"/>
      <c r="J51" s="140"/>
    </row>
    <row r="52" spans="1:10" s="1" customFormat="1" ht="20.100000000000001" customHeight="1">
      <c r="A52" s="72" t="s">
        <v>42</v>
      </c>
      <c r="B52" s="9">
        <v>1073</v>
      </c>
      <c r="C52" s="168"/>
      <c r="D52" s="168"/>
      <c r="E52" s="224"/>
      <c r="F52" s="168"/>
      <c r="G52" s="168"/>
      <c r="H52" s="168"/>
      <c r="I52" s="168"/>
      <c r="J52" s="140"/>
    </row>
    <row r="53" spans="1:10" s="1" customFormat="1" ht="37.5">
      <c r="A53" s="72" t="s">
        <v>66</v>
      </c>
      <c r="B53" s="9">
        <v>1074</v>
      </c>
      <c r="C53" s="168"/>
      <c r="D53" s="168"/>
      <c r="E53" s="224"/>
      <c r="F53" s="168"/>
      <c r="G53" s="168"/>
      <c r="H53" s="168"/>
      <c r="I53" s="168"/>
      <c r="J53" s="140"/>
    </row>
    <row r="54" spans="1:10" s="1" customFormat="1" ht="20.100000000000001" customHeight="1">
      <c r="A54" s="72" t="s">
        <v>85</v>
      </c>
      <c r="B54" s="9">
        <v>1075</v>
      </c>
      <c r="C54" s="168"/>
      <c r="D54" s="168"/>
      <c r="E54" s="224"/>
      <c r="F54" s="168"/>
      <c r="G54" s="168"/>
      <c r="H54" s="168"/>
      <c r="I54" s="168"/>
      <c r="J54" s="140"/>
    </row>
    <row r="55" spans="1:10" s="1" customFormat="1" ht="20.100000000000001" customHeight="1">
      <c r="A55" s="72" t="s">
        <v>138</v>
      </c>
      <c r="B55" s="9">
        <v>1076</v>
      </c>
      <c r="C55" s="168"/>
      <c r="D55" s="168"/>
      <c r="E55" s="224"/>
      <c r="F55" s="168"/>
      <c r="G55" s="168"/>
      <c r="H55" s="168"/>
      <c r="I55" s="168"/>
      <c r="J55" s="140"/>
    </row>
    <row r="56" spans="1:10" s="1" customFormat="1" ht="37.5">
      <c r="A56" s="160" t="s">
        <v>87</v>
      </c>
      <c r="B56" s="9">
        <v>1080</v>
      </c>
      <c r="C56" s="169">
        <f>SUM(C57:C61)</f>
        <v>67</v>
      </c>
      <c r="D56" s="169">
        <f t="shared" ref="D56:I56" si="10">SUM(D57:D61)</f>
        <v>42</v>
      </c>
      <c r="E56" s="249">
        <f t="shared" si="10"/>
        <v>42</v>
      </c>
      <c r="F56" s="169">
        <f t="shared" si="10"/>
        <v>5</v>
      </c>
      <c r="G56" s="169">
        <f t="shared" si="10"/>
        <v>42</v>
      </c>
      <c r="H56" s="169">
        <f t="shared" si="10"/>
        <v>42</v>
      </c>
      <c r="I56" s="169">
        <f t="shared" si="10"/>
        <v>42</v>
      </c>
      <c r="J56" s="140"/>
    </row>
    <row r="57" spans="1:10" s="1" customFormat="1" ht="20.100000000000001" customHeight="1">
      <c r="A57" s="72" t="s">
        <v>76</v>
      </c>
      <c r="B57" s="161">
        <v>1081</v>
      </c>
      <c r="C57" s="168"/>
      <c r="D57" s="168"/>
      <c r="E57" s="224"/>
      <c r="F57" s="168"/>
      <c r="G57" s="168"/>
      <c r="H57" s="168"/>
      <c r="I57" s="168"/>
      <c r="J57" s="140"/>
    </row>
    <row r="58" spans="1:10" s="1" customFormat="1" ht="37.5">
      <c r="A58" s="72" t="s">
        <v>54</v>
      </c>
      <c r="B58" s="161">
        <v>1082</v>
      </c>
      <c r="C58" s="168"/>
      <c r="D58" s="168"/>
      <c r="E58" s="224"/>
      <c r="F58" s="168"/>
      <c r="G58" s="168"/>
      <c r="H58" s="168"/>
      <c r="I58" s="168"/>
      <c r="J58" s="140"/>
    </row>
    <row r="59" spans="1:10" s="1" customFormat="1" ht="37.5">
      <c r="A59" s="72" t="s">
        <v>64</v>
      </c>
      <c r="B59" s="161">
        <v>1083</v>
      </c>
      <c r="C59" s="168"/>
      <c r="D59" s="168"/>
      <c r="E59" s="224"/>
      <c r="F59" s="168"/>
      <c r="G59" s="168"/>
      <c r="H59" s="168"/>
      <c r="I59" s="168"/>
      <c r="J59" s="140"/>
    </row>
    <row r="60" spans="1:10" s="1" customFormat="1" ht="20.100000000000001" customHeight="1">
      <c r="A60" s="72" t="s">
        <v>233</v>
      </c>
      <c r="B60" s="161">
        <v>1084</v>
      </c>
      <c r="C60" s="168"/>
      <c r="D60" s="168"/>
      <c r="E60" s="224"/>
      <c r="F60" s="168"/>
      <c r="G60" s="168"/>
      <c r="H60" s="168"/>
      <c r="I60" s="168"/>
      <c r="J60" s="140"/>
    </row>
    <row r="61" spans="1:10" s="1" customFormat="1" ht="20.100000000000001" customHeight="1">
      <c r="A61" s="72" t="s">
        <v>262</v>
      </c>
      <c r="B61" s="161">
        <v>1085</v>
      </c>
      <c r="C61" s="168">
        <f>C62+C63</f>
        <v>67</v>
      </c>
      <c r="D61" s="168">
        <f t="shared" ref="D61:I61" si="11">D62+D63+D64</f>
        <v>42</v>
      </c>
      <c r="E61" s="168">
        <f t="shared" si="11"/>
        <v>42</v>
      </c>
      <c r="F61" s="168">
        <f t="shared" si="11"/>
        <v>5</v>
      </c>
      <c r="G61" s="168">
        <f t="shared" si="11"/>
        <v>42</v>
      </c>
      <c r="H61" s="168">
        <f t="shared" si="11"/>
        <v>42</v>
      </c>
      <c r="I61" s="168">
        <f t="shared" si="11"/>
        <v>42</v>
      </c>
      <c r="J61" s="140"/>
    </row>
    <row r="62" spans="1:10" s="1" customFormat="1" ht="20.100000000000001" customHeight="1">
      <c r="A62" s="160" t="s">
        <v>393</v>
      </c>
      <c r="B62" s="6" t="s">
        <v>391</v>
      </c>
      <c r="C62" s="168">
        <v>8</v>
      </c>
      <c r="D62" s="168"/>
      <c r="E62" s="224"/>
      <c r="F62" s="168"/>
      <c r="G62" s="168"/>
      <c r="H62" s="168"/>
      <c r="I62" s="168"/>
      <c r="J62" s="263"/>
    </row>
    <row r="63" spans="1:10" s="1" customFormat="1" ht="20.100000000000001" customHeight="1">
      <c r="A63" s="160" t="s">
        <v>394</v>
      </c>
      <c r="B63" s="6" t="s">
        <v>392</v>
      </c>
      <c r="C63" s="168">
        <v>59</v>
      </c>
      <c r="D63" s="168">
        <v>42</v>
      </c>
      <c r="E63" s="224">
        <v>42</v>
      </c>
      <c r="F63" s="168">
        <v>5</v>
      </c>
      <c r="G63" s="168">
        <v>42</v>
      </c>
      <c r="H63" s="168">
        <v>42</v>
      </c>
      <c r="I63" s="168">
        <v>42</v>
      </c>
      <c r="J63" s="140"/>
    </row>
    <row r="64" spans="1:10" s="1" customFormat="1" ht="20.100000000000001" customHeight="1">
      <c r="A64" s="160"/>
      <c r="B64" s="6"/>
      <c r="C64" s="168"/>
      <c r="D64" s="168"/>
      <c r="E64" s="224"/>
      <c r="F64" s="168"/>
      <c r="G64" s="168"/>
      <c r="H64" s="168"/>
      <c r="I64" s="168"/>
      <c r="J64" s="140"/>
    </row>
    <row r="65" spans="1:11" s="5" customFormat="1" ht="37.5">
      <c r="A65" s="159" t="s">
        <v>4</v>
      </c>
      <c r="B65" s="11">
        <v>1100</v>
      </c>
      <c r="C65" s="169">
        <f>C19+C20-C24-C49-C56</f>
        <v>45</v>
      </c>
      <c r="D65" s="169">
        <f t="shared" ref="D65:I65" si="12">D19+D20-D24-D49-D56</f>
        <v>-261</v>
      </c>
      <c r="E65" s="249">
        <f>E19+E20-E24-E49-E56</f>
        <v>-214</v>
      </c>
      <c r="F65" s="169">
        <f t="shared" si="12"/>
        <v>-89</v>
      </c>
      <c r="G65" s="169">
        <f t="shared" si="12"/>
        <v>-102</v>
      </c>
      <c r="H65" s="169">
        <f t="shared" si="12"/>
        <v>-278</v>
      </c>
      <c r="I65" s="169">
        <f t="shared" si="12"/>
        <v>-273</v>
      </c>
      <c r="J65" s="141"/>
    </row>
    <row r="66" spans="1:11" ht="21.75" customHeight="1">
      <c r="A66" s="72" t="s">
        <v>122</v>
      </c>
      <c r="B66" s="9">
        <v>1110</v>
      </c>
      <c r="C66" s="168"/>
      <c r="D66" s="168"/>
      <c r="E66" s="224"/>
      <c r="F66" s="168"/>
      <c r="G66" s="168"/>
      <c r="H66" s="168"/>
      <c r="I66" s="168"/>
      <c r="J66" s="140"/>
    </row>
    <row r="67" spans="1:11" ht="20.100000000000001" customHeight="1">
      <c r="A67" s="72" t="s">
        <v>123</v>
      </c>
      <c r="B67" s="9">
        <v>1120</v>
      </c>
      <c r="C67" s="168"/>
      <c r="D67" s="168"/>
      <c r="E67" s="224"/>
      <c r="F67" s="168"/>
      <c r="G67" s="168"/>
      <c r="H67" s="168"/>
      <c r="I67" s="168"/>
      <c r="J67" s="140"/>
    </row>
    <row r="68" spans="1:11" ht="37.5">
      <c r="A68" s="72" t="s">
        <v>125</v>
      </c>
      <c r="B68" s="9">
        <v>1130</v>
      </c>
      <c r="C68" s="168"/>
      <c r="D68" s="168"/>
      <c r="E68" s="224"/>
      <c r="F68" s="168"/>
      <c r="G68" s="168"/>
      <c r="H68" s="168"/>
      <c r="I68" s="168"/>
      <c r="J68" s="140"/>
    </row>
    <row r="69" spans="1:11" ht="20.100000000000001" customHeight="1">
      <c r="A69" s="72" t="s">
        <v>124</v>
      </c>
      <c r="B69" s="9">
        <v>1140</v>
      </c>
      <c r="C69" s="168"/>
      <c r="D69" s="168"/>
      <c r="E69" s="224"/>
      <c r="F69" s="168"/>
      <c r="G69" s="168"/>
      <c r="H69" s="168"/>
      <c r="I69" s="168"/>
      <c r="J69" s="140"/>
    </row>
    <row r="70" spans="1:11" ht="37.5">
      <c r="A70" s="225" t="s">
        <v>234</v>
      </c>
      <c r="B70" s="9">
        <v>1150</v>
      </c>
      <c r="C70" s="168">
        <f>C71+C72</f>
        <v>0</v>
      </c>
      <c r="D70" s="224">
        <f>D71</f>
        <v>316</v>
      </c>
      <c r="E70" s="224">
        <f>E71+E72</f>
        <v>246</v>
      </c>
      <c r="F70" s="168">
        <f>F71</f>
        <v>94</v>
      </c>
      <c r="G70" s="168">
        <f t="shared" ref="G70:I70" si="13">G71</f>
        <v>122</v>
      </c>
      <c r="H70" s="168">
        <f t="shared" si="13"/>
        <v>310</v>
      </c>
      <c r="I70" s="168">
        <f t="shared" si="13"/>
        <v>316</v>
      </c>
      <c r="J70" s="140"/>
    </row>
    <row r="71" spans="1:11">
      <c r="A71" s="72" t="s">
        <v>407</v>
      </c>
      <c r="B71" s="6" t="s">
        <v>408</v>
      </c>
      <c r="C71" s="224"/>
      <c r="D71" s="168">
        <v>316</v>
      </c>
      <c r="E71" s="224">
        <v>246</v>
      </c>
      <c r="F71" s="224">
        <v>94</v>
      </c>
      <c r="G71" s="224">
        <v>122</v>
      </c>
      <c r="H71" s="224">
        <v>310</v>
      </c>
      <c r="I71" s="224">
        <v>316</v>
      </c>
      <c r="J71" s="326"/>
      <c r="K71" s="332" t="s">
        <v>558</v>
      </c>
    </row>
    <row r="72" spans="1:11" ht="56.25">
      <c r="A72" s="259" t="s">
        <v>465</v>
      </c>
      <c r="B72" s="6" t="s">
        <v>422</v>
      </c>
      <c r="C72" s="168"/>
      <c r="D72" s="168"/>
      <c r="E72" s="224"/>
      <c r="F72" s="168"/>
      <c r="G72" s="168"/>
      <c r="H72" s="168"/>
      <c r="I72" s="168"/>
      <c r="J72" s="140"/>
    </row>
    <row r="73" spans="1:11" ht="20.100000000000001" customHeight="1">
      <c r="A73" s="72" t="s">
        <v>233</v>
      </c>
      <c r="B73" s="9">
        <v>1151</v>
      </c>
      <c r="C73" s="168"/>
      <c r="D73" s="168"/>
      <c r="E73" s="224"/>
      <c r="F73" s="168"/>
      <c r="G73" s="168"/>
      <c r="H73" s="168"/>
      <c r="I73" s="168"/>
      <c r="J73" s="140"/>
    </row>
    <row r="74" spans="1:11" ht="37.5">
      <c r="A74" s="72" t="s">
        <v>235</v>
      </c>
      <c r="B74" s="9">
        <v>1160</v>
      </c>
      <c r="C74" s="168"/>
      <c r="D74" s="168"/>
      <c r="E74" s="224"/>
      <c r="F74" s="168"/>
      <c r="G74" s="168"/>
      <c r="H74" s="168"/>
      <c r="I74" s="168"/>
      <c r="J74" s="140"/>
    </row>
    <row r="75" spans="1:11" ht="20.100000000000001" customHeight="1">
      <c r="A75" s="72" t="s">
        <v>233</v>
      </c>
      <c r="B75" s="9">
        <v>1161</v>
      </c>
      <c r="C75" s="168"/>
      <c r="D75" s="168"/>
      <c r="E75" s="224"/>
      <c r="F75" s="168"/>
      <c r="G75" s="168"/>
      <c r="H75" s="168"/>
      <c r="I75" s="168"/>
      <c r="J75" s="140"/>
    </row>
    <row r="76" spans="1:11" s="5" customFormat="1" ht="37.5">
      <c r="A76" s="159" t="s">
        <v>106</v>
      </c>
      <c r="B76" s="11">
        <v>1170</v>
      </c>
      <c r="C76" s="169">
        <f>C65+C66+C67+C70-C69-C68-C74</f>
        <v>45</v>
      </c>
      <c r="D76" s="169">
        <f t="shared" ref="D76:I76" si="14">D65+D66+D67+D70-D69-D68-D74</f>
        <v>55</v>
      </c>
      <c r="E76" s="249">
        <f>E65+E66+E67+E70-E69-E68-E74</f>
        <v>32</v>
      </c>
      <c r="F76" s="169">
        <f t="shared" si="14"/>
        <v>5</v>
      </c>
      <c r="G76" s="169">
        <f t="shared" si="14"/>
        <v>20</v>
      </c>
      <c r="H76" s="169">
        <f t="shared" si="14"/>
        <v>32</v>
      </c>
      <c r="I76" s="169">
        <f t="shared" si="14"/>
        <v>43</v>
      </c>
      <c r="J76" s="141"/>
    </row>
    <row r="77" spans="1:11" ht="20.100000000000001" customHeight="1">
      <c r="A77" s="72" t="s">
        <v>151</v>
      </c>
      <c r="B77" s="9">
        <v>1180</v>
      </c>
      <c r="C77" s="168">
        <v>8</v>
      </c>
      <c r="D77" s="168">
        <f>ROUND(D76*18%,0)</f>
        <v>10</v>
      </c>
      <c r="E77" s="168">
        <v>10</v>
      </c>
      <c r="F77" s="168"/>
      <c r="G77" s="168"/>
      <c r="H77" s="224"/>
      <c r="I77" s="224">
        <f>ROUND(I76*18%,0)</f>
        <v>8</v>
      </c>
      <c r="J77" s="216"/>
    </row>
    <row r="78" spans="1:11" ht="37.5">
      <c r="A78" s="72" t="s">
        <v>152</v>
      </c>
      <c r="B78" s="9">
        <v>1190</v>
      </c>
      <c r="C78" s="168"/>
      <c r="D78" s="168"/>
      <c r="E78" s="224"/>
      <c r="F78" s="168"/>
      <c r="G78" s="168"/>
      <c r="H78" s="168"/>
      <c r="I78" s="168"/>
      <c r="J78" s="140"/>
    </row>
    <row r="79" spans="1:11" s="5" customFormat="1" ht="37.5">
      <c r="A79" s="159" t="s">
        <v>107</v>
      </c>
      <c r="B79" s="11">
        <v>1200</v>
      </c>
      <c r="C79" s="169">
        <f t="shared" ref="C79:I79" si="15">C76-C77-C78</f>
        <v>37</v>
      </c>
      <c r="D79" s="169">
        <f t="shared" si="15"/>
        <v>45</v>
      </c>
      <c r="E79" s="249">
        <f t="shared" si="15"/>
        <v>22</v>
      </c>
      <c r="F79" s="249">
        <f t="shared" si="15"/>
        <v>5</v>
      </c>
      <c r="G79" s="249">
        <f t="shared" si="15"/>
        <v>20</v>
      </c>
      <c r="H79" s="249">
        <f t="shared" si="15"/>
        <v>32</v>
      </c>
      <c r="I79" s="169">
        <f t="shared" si="15"/>
        <v>35</v>
      </c>
      <c r="J79" s="333"/>
    </row>
    <row r="80" spans="1:11" ht="20.100000000000001" customHeight="1">
      <c r="A80" s="72" t="s">
        <v>24</v>
      </c>
      <c r="B80" s="6">
        <v>1201</v>
      </c>
      <c r="C80" s="169">
        <f>SUMIF(C79,"&gt;0")</f>
        <v>37</v>
      </c>
      <c r="D80" s="169">
        <f t="shared" ref="D80:I80" si="16">SUMIF(D79,"&gt;0")</f>
        <v>45</v>
      </c>
      <c r="E80" s="249">
        <f t="shared" si="16"/>
        <v>22</v>
      </c>
      <c r="F80" s="169">
        <f t="shared" si="16"/>
        <v>5</v>
      </c>
      <c r="G80" s="169">
        <f t="shared" si="16"/>
        <v>20</v>
      </c>
      <c r="H80" s="169">
        <f t="shared" si="16"/>
        <v>32</v>
      </c>
      <c r="I80" s="169">
        <f t="shared" si="16"/>
        <v>35</v>
      </c>
      <c r="J80" s="140"/>
    </row>
    <row r="81" spans="1:12" ht="20.100000000000001" customHeight="1">
      <c r="A81" s="72" t="s">
        <v>25</v>
      </c>
      <c r="B81" s="6">
        <v>1202</v>
      </c>
      <c r="C81" s="169">
        <f>SUMIF(C79,"&lt;0")</f>
        <v>0</v>
      </c>
      <c r="D81" s="169">
        <f t="shared" ref="D81:I81" si="17">SUMIF(D79,"&lt;0")</f>
        <v>0</v>
      </c>
      <c r="E81" s="249">
        <f t="shared" si="17"/>
        <v>0</v>
      </c>
      <c r="F81" s="169">
        <f t="shared" si="17"/>
        <v>0</v>
      </c>
      <c r="G81" s="169">
        <f t="shared" si="17"/>
        <v>0</v>
      </c>
      <c r="H81" s="169">
        <f t="shared" si="17"/>
        <v>0</v>
      </c>
      <c r="I81" s="169">
        <f t="shared" si="17"/>
        <v>0</v>
      </c>
      <c r="J81" s="140"/>
    </row>
    <row r="82" spans="1:12" ht="19.5" customHeight="1">
      <c r="A82" s="72" t="s">
        <v>263</v>
      </c>
      <c r="B82" s="9">
        <v>1210</v>
      </c>
      <c r="C82" s="168"/>
      <c r="D82" s="168"/>
      <c r="E82" s="224"/>
      <c r="F82" s="168"/>
      <c r="G82" s="168"/>
      <c r="H82" s="168"/>
      <c r="I82" s="168"/>
      <c r="J82" s="140"/>
    </row>
    <row r="83" spans="1:12" s="5" customFormat="1" ht="20.100000000000001" customHeight="1">
      <c r="A83" s="379" t="s">
        <v>305</v>
      </c>
      <c r="B83" s="380"/>
      <c r="C83" s="380"/>
      <c r="D83" s="380"/>
      <c r="E83" s="380"/>
      <c r="F83" s="380"/>
      <c r="G83" s="380"/>
      <c r="H83" s="380"/>
      <c r="I83" s="380"/>
      <c r="J83" s="381"/>
    </row>
    <row r="84" spans="1:12" ht="42.75" customHeight="1">
      <c r="A84" s="71" t="s">
        <v>285</v>
      </c>
      <c r="B84" s="6">
        <v>1300</v>
      </c>
      <c r="C84" s="169">
        <f t="shared" ref="C84:I84" si="18">C20-C56</f>
        <v>6274</v>
      </c>
      <c r="D84" s="169">
        <f t="shared" si="18"/>
        <v>6717</v>
      </c>
      <c r="E84" s="249">
        <f t="shared" si="18"/>
        <v>6396</v>
      </c>
      <c r="F84" s="169">
        <f t="shared" si="18"/>
        <v>1894</v>
      </c>
      <c r="G84" s="169">
        <f t="shared" si="18"/>
        <v>3163</v>
      </c>
      <c r="H84" s="169">
        <f t="shared" si="18"/>
        <v>4476</v>
      </c>
      <c r="I84" s="169">
        <f t="shared" si="18"/>
        <v>6418</v>
      </c>
      <c r="J84" s="140"/>
    </row>
    <row r="85" spans="1:12" ht="75">
      <c r="A85" s="72" t="s">
        <v>279</v>
      </c>
      <c r="B85" s="6">
        <v>1310</v>
      </c>
      <c r="C85" s="169">
        <f t="shared" ref="C85:I85" si="19">C66+C67-C68-C69</f>
        <v>0</v>
      </c>
      <c r="D85" s="169">
        <f t="shared" si="19"/>
        <v>0</v>
      </c>
      <c r="E85" s="249">
        <f t="shared" si="19"/>
        <v>0</v>
      </c>
      <c r="F85" s="169">
        <f t="shared" si="19"/>
        <v>0</v>
      </c>
      <c r="G85" s="169">
        <f t="shared" si="19"/>
        <v>0</v>
      </c>
      <c r="H85" s="169">
        <f t="shared" si="19"/>
        <v>0</v>
      </c>
      <c r="I85" s="169">
        <f t="shared" si="19"/>
        <v>0</v>
      </c>
      <c r="J85" s="140"/>
    </row>
    <row r="86" spans="1:12" ht="42.75" customHeight="1">
      <c r="A86" s="71" t="s">
        <v>280</v>
      </c>
      <c r="B86" s="6">
        <v>1320</v>
      </c>
      <c r="C86" s="169">
        <f>C70-C74</f>
        <v>0</v>
      </c>
      <c r="D86" s="169">
        <f t="shared" ref="D86:I86" si="20">D70-D74</f>
        <v>316</v>
      </c>
      <c r="E86" s="249">
        <f t="shared" si="20"/>
        <v>246</v>
      </c>
      <c r="F86" s="169">
        <f t="shared" si="20"/>
        <v>94</v>
      </c>
      <c r="G86" s="169">
        <f t="shared" si="20"/>
        <v>122</v>
      </c>
      <c r="H86" s="169">
        <f t="shared" si="20"/>
        <v>310</v>
      </c>
      <c r="I86" s="169">
        <f t="shared" si="20"/>
        <v>316</v>
      </c>
      <c r="J86" s="140"/>
    </row>
    <row r="87" spans="1:12" ht="56.25">
      <c r="A87" s="8" t="s">
        <v>361</v>
      </c>
      <c r="B87" s="9">
        <v>1330</v>
      </c>
      <c r="C87" s="169">
        <f t="shared" ref="C87" si="21">C7+C20+C66+C67+C70</f>
        <v>8968</v>
      </c>
      <c r="D87" s="169">
        <f t="shared" ref="D87:I87" si="22">D7+D20+D66+D67+D70</f>
        <v>9505</v>
      </c>
      <c r="E87" s="249">
        <f t="shared" si="22"/>
        <v>8795</v>
      </c>
      <c r="F87" s="169">
        <f t="shared" si="22"/>
        <v>1998</v>
      </c>
      <c r="G87" s="169">
        <f t="shared" si="22"/>
        <v>4927</v>
      </c>
      <c r="H87" s="169">
        <f t="shared" si="22"/>
        <v>6878</v>
      </c>
      <c r="I87" s="169">
        <f t="shared" si="22"/>
        <v>8826</v>
      </c>
      <c r="J87" s="140"/>
    </row>
    <row r="88" spans="1:12" ht="75">
      <c r="A88" s="8" t="s">
        <v>362</v>
      </c>
      <c r="B88" s="9">
        <v>1340</v>
      </c>
      <c r="C88" s="169">
        <f t="shared" ref="C88" si="23">C9+C24+C49+C56+C68+C69+C74+C77+C78</f>
        <v>8931</v>
      </c>
      <c r="D88" s="169">
        <f t="shared" ref="D88:I88" si="24">D9+D24+D49+D56+D68+D69+D74+D77+D78</f>
        <v>9460</v>
      </c>
      <c r="E88" s="249">
        <f t="shared" si="24"/>
        <v>8773</v>
      </c>
      <c r="F88" s="169">
        <f t="shared" si="24"/>
        <v>1993</v>
      </c>
      <c r="G88" s="169">
        <f t="shared" si="24"/>
        <v>4907</v>
      </c>
      <c r="H88" s="169">
        <f t="shared" si="24"/>
        <v>6846</v>
      </c>
      <c r="I88" s="169">
        <f t="shared" si="24"/>
        <v>8791</v>
      </c>
      <c r="J88" s="314"/>
      <c r="K88" s="258"/>
      <c r="L88" s="258"/>
    </row>
    <row r="89" spans="1:12" ht="20.100000000000001" customHeight="1">
      <c r="A89" s="379" t="s">
        <v>181</v>
      </c>
      <c r="B89" s="380"/>
      <c r="C89" s="380"/>
      <c r="D89" s="380"/>
      <c r="E89" s="380"/>
      <c r="F89" s="380"/>
      <c r="G89" s="380"/>
      <c r="H89" s="380"/>
      <c r="I89" s="380"/>
      <c r="J89" s="381"/>
    </row>
    <row r="90" spans="1:12" ht="37.5">
      <c r="A90" s="8" t="s">
        <v>281</v>
      </c>
      <c r="B90" s="9">
        <v>1400</v>
      </c>
      <c r="C90" s="169">
        <f>C65</f>
        <v>45</v>
      </c>
      <c r="D90" s="169">
        <f t="shared" ref="D90:I90" si="25">D65</f>
        <v>-261</v>
      </c>
      <c r="E90" s="249">
        <f t="shared" si="25"/>
        <v>-214</v>
      </c>
      <c r="F90" s="169">
        <f t="shared" si="25"/>
        <v>-89</v>
      </c>
      <c r="G90" s="169">
        <f t="shared" si="25"/>
        <v>-102</v>
      </c>
      <c r="H90" s="169">
        <f t="shared" si="25"/>
        <v>-278</v>
      </c>
      <c r="I90" s="169">
        <f t="shared" si="25"/>
        <v>-273</v>
      </c>
      <c r="J90" s="140"/>
    </row>
    <row r="91" spans="1:12">
      <c r="A91" s="8" t="s">
        <v>282</v>
      </c>
      <c r="B91" s="9">
        <v>1401</v>
      </c>
      <c r="C91" s="169">
        <f>C102</f>
        <v>293</v>
      </c>
      <c r="D91" s="169">
        <f t="shared" ref="D91:I91" si="26">D102</f>
        <v>299</v>
      </c>
      <c r="E91" s="249">
        <f t="shared" si="26"/>
        <v>299</v>
      </c>
      <c r="F91" s="169">
        <f t="shared" si="26"/>
        <v>36</v>
      </c>
      <c r="G91" s="169">
        <f t="shared" si="26"/>
        <v>177</v>
      </c>
      <c r="H91" s="169">
        <f t="shared" si="26"/>
        <v>254</v>
      </c>
      <c r="I91" s="169">
        <f t="shared" si="26"/>
        <v>299</v>
      </c>
      <c r="J91" s="140"/>
    </row>
    <row r="92" spans="1:12" ht="23.25" customHeight="1">
      <c r="A92" s="8" t="s">
        <v>283</v>
      </c>
      <c r="B92" s="9">
        <v>1402</v>
      </c>
      <c r="C92" s="169">
        <f>C23</f>
        <v>0</v>
      </c>
      <c r="D92" s="169">
        <f t="shared" ref="D92:I92" si="27">D23</f>
        <v>0</v>
      </c>
      <c r="E92" s="249">
        <f t="shared" si="27"/>
        <v>0</v>
      </c>
      <c r="F92" s="169">
        <f t="shared" si="27"/>
        <v>0</v>
      </c>
      <c r="G92" s="169">
        <f t="shared" si="27"/>
        <v>0</v>
      </c>
      <c r="H92" s="169">
        <f t="shared" si="27"/>
        <v>0</v>
      </c>
      <c r="I92" s="169">
        <f t="shared" si="27"/>
        <v>0</v>
      </c>
      <c r="J92" s="140"/>
    </row>
    <row r="93" spans="1:12" ht="21.75" customHeight="1">
      <c r="A93" s="8" t="s">
        <v>284</v>
      </c>
      <c r="B93" s="9">
        <v>1403</v>
      </c>
      <c r="C93" s="169">
        <f>C60</f>
        <v>0</v>
      </c>
      <c r="D93" s="169">
        <f t="shared" ref="D93:I93" si="28">D60</f>
        <v>0</v>
      </c>
      <c r="E93" s="249">
        <f t="shared" si="28"/>
        <v>0</v>
      </c>
      <c r="F93" s="169">
        <f t="shared" si="28"/>
        <v>0</v>
      </c>
      <c r="G93" s="169">
        <f t="shared" si="28"/>
        <v>0</v>
      </c>
      <c r="H93" s="169">
        <f t="shared" si="28"/>
        <v>0</v>
      </c>
      <c r="I93" s="169">
        <f t="shared" si="28"/>
        <v>0</v>
      </c>
      <c r="J93" s="140"/>
    </row>
    <row r="94" spans="1:12" ht="19.5" customHeight="1">
      <c r="A94" s="8" t="s">
        <v>347</v>
      </c>
      <c r="B94" s="9">
        <v>1404</v>
      </c>
      <c r="C94" s="168"/>
      <c r="D94" s="168"/>
      <c r="E94" s="224"/>
      <c r="F94" s="168"/>
      <c r="G94" s="168"/>
      <c r="H94" s="168"/>
      <c r="I94" s="168"/>
      <c r="J94" s="140"/>
    </row>
    <row r="95" spans="1:12" s="5" customFormat="1" ht="20.100000000000001" customHeight="1">
      <c r="A95" s="10" t="s">
        <v>155</v>
      </c>
      <c r="B95" s="73">
        <v>1410</v>
      </c>
      <c r="C95" s="170">
        <f>C90+C91-C92+C93</f>
        <v>338</v>
      </c>
      <c r="D95" s="170">
        <f t="shared" ref="D95:I95" si="29">D90+D91-D92+D93</f>
        <v>38</v>
      </c>
      <c r="E95" s="250">
        <f t="shared" si="29"/>
        <v>85</v>
      </c>
      <c r="F95" s="170">
        <f t="shared" si="29"/>
        <v>-53</v>
      </c>
      <c r="G95" s="170">
        <f t="shared" si="29"/>
        <v>75</v>
      </c>
      <c r="H95" s="170">
        <f t="shared" si="29"/>
        <v>-24</v>
      </c>
      <c r="I95" s="170">
        <f t="shared" si="29"/>
        <v>26</v>
      </c>
      <c r="J95" s="141"/>
    </row>
    <row r="96" spans="1:12" ht="20.100000000000001" customHeight="1">
      <c r="A96" s="379" t="s">
        <v>250</v>
      </c>
      <c r="B96" s="380"/>
      <c r="C96" s="380"/>
      <c r="D96" s="380"/>
      <c r="E96" s="380"/>
      <c r="F96" s="380"/>
      <c r="G96" s="380"/>
      <c r="H96" s="380"/>
      <c r="I96" s="380"/>
      <c r="J96" s="381"/>
    </row>
    <row r="97" spans="1:14" ht="20.100000000000001" customHeight="1">
      <c r="A97" s="8" t="s">
        <v>306</v>
      </c>
      <c r="B97" s="74">
        <v>1500</v>
      </c>
      <c r="C97" s="168">
        <f>C99</f>
        <v>1389</v>
      </c>
      <c r="D97" s="168">
        <f t="shared" ref="D97:I97" si="30">D99</f>
        <v>1594</v>
      </c>
      <c r="E97" s="168">
        <f t="shared" si="30"/>
        <v>1076</v>
      </c>
      <c r="F97" s="168">
        <f t="shared" si="30"/>
        <v>237</v>
      </c>
      <c r="G97" s="168">
        <f t="shared" si="30"/>
        <v>860</v>
      </c>
      <c r="H97" s="168">
        <f t="shared" si="30"/>
        <v>1241</v>
      </c>
      <c r="I97" s="168">
        <f t="shared" si="30"/>
        <v>1594</v>
      </c>
      <c r="J97" s="140"/>
    </row>
    <row r="98" spans="1:14" ht="20.100000000000001" customHeight="1">
      <c r="A98" s="8" t="s">
        <v>304</v>
      </c>
      <c r="B98" s="7">
        <v>1501</v>
      </c>
      <c r="C98" s="168"/>
      <c r="D98" s="168"/>
      <c r="E98" s="168"/>
      <c r="F98" s="168"/>
      <c r="G98" s="168"/>
      <c r="H98" s="168"/>
      <c r="I98" s="168"/>
      <c r="J98" s="140"/>
    </row>
    <row r="99" spans="1:14">
      <c r="A99" s="8" t="s">
        <v>28</v>
      </c>
      <c r="B99" s="7">
        <v>1502</v>
      </c>
      <c r="C99" s="224">
        <f>C11+C12+C113</f>
        <v>1389</v>
      </c>
      <c r="D99" s="224">
        <f>D11+D12+D113</f>
        <v>1594</v>
      </c>
      <c r="E99" s="224">
        <f>E11+E12+E113</f>
        <v>1076</v>
      </c>
      <c r="F99" s="224">
        <f t="shared" ref="F99:I99" si="31">F11+F12+F113</f>
        <v>237</v>
      </c>
      <c r="G99" s="224">
        <f t="shared" si="31"/>
        <v>860</v>
      </c>
      <c r="H99" s="224">
        <f t="shared" si="31"/>
        <v>1241</v>
      </c>
      <c r="I99" s="224">
        <f t="shared" si="31"/>
        <v>1594</v>
      </c>
      <c r="J99" s="314"/>
      <c r="K99" s="321"/>
    </row>
    <row r="100" spans="1:14" ht="20.100000000000001" customHeight="1">
      <c r="A100" s="8" t="s">
        <v>5</v>
      </c>
      <c r="B100" s="74">
        <v>1510</v>
      </c>
      <c r="C100" s="224">
        <f t="shared" ref="C100:I100" si="32">C13+C32</f>
        <v>4516</v>
      </c>
      <c r="D100" s="224">
        <f t="shared" si="32"/>
        <v>4898</v>
      </c>
      <c r="E100" s="224">
        <f t="shared" si="32"/>
        <v>4898</v>
      </c>
      <c r="F100" s="224">
        <f t="shared" si="32"/>
        <v>1148</v>
      </c>
      <c r="G100" s="224">
        <f t="shared" si="32"/>
        <v>2296</v>
      </c>
      <c r="H100" s="224">
        <f t="shared" si="32"/>
        <v>3442</v>
      </c>
      <c r="I100" s="224">
        <f t="shared" si="32"/>
        <v>4590</v>
      </c>
      <c r="J100" s="275"/>
      <c r="K100" s="265">
        <f>штатка!W48/1000</f>
        <v>1147.5768250000001</v>
      </c>
      <c r="L100" s="265">
        <f>штатка!X48/1000</f>
        <v>2295.1536500000002</v>
      </c>
      <c r="M100" s="265">
        <f>штатка!Y48/1000</f>
        <v>3442.7304749999998</v>
      </c>
      <c r="N100" s="265">
        <f>штатка!Z48/1000</f>
        <v>4590.3073000000004</v>
      </c>
    </row>
    <row r="101" spans="1:14" ht="20.100000000000001" customHeight="1">
      <c r="A101" s="8" t="s">
        <v>6</v>
      </c>
      <c r="B101" s="74">
        <v>1520</v>
      </c>
      <c r="C101" s="224">
        <f>C14+C33</f>
        <v>934</v>
      </c>
      <c r="D101" s="224">
        <f>D14+D33</f>
        <v>1011</v>
      </c>
      <c r="E101" s="224">
        <f>E14+E33</f>
        <v>1011</v>
      </c>
      <c r="F101" s="224">
        <f>F14+F33</f>
        <v>234</v>
      </c>
      <c r="G101" s="224">
        <f t="shared" ref="G101:I101" si="33">G14+G33</f>
        <v>467</v>
      </c>
      <c r="H101" s="224">
        <f t="shared" si="33"/>
        <v>702</v>
      </c>
      <c r="I101" s="224">
        <f t="shared" si="33"/>
        <v>936</v>
      </c>
      <c r="J101" s="275"/>
      <c r="K101" s="265">
        <f>штатка!W49/1000</f>
        <v>234.02781962500001</v>
      </c>
      <c r="L101" s="265">
        <f>штатка!X49/1000</f>
        <v>468.05563925000001</v>
      </c>
      <c r="M101" s="265">
        <f>штатка!Y49/1000</f>
        <v>702.08345887500002</v>
      </c>
      <c r="N101" s="265">
        <f>штатка!Z49/1000</f>
        <v>936.11127850000003</v>
      </c>
    </row>
    <row r="102" spans="1:14">
      <c r="A102" s="8" t="s">
        <v>7</v>
      </c>
      <c r="B102" s="74">
        <v>1530</v>
      </c>
      <c r="C102" s="224">
        <f>C16+C34+C53+25</f>
        <v>293</v>
      </c>
      <c r="D102" s="224">
        <f>D16+D34+D53+31</f>
        <v>299</v>
      </c>
      <c r="E102" s="224">
        <f>E16+E34+E53+31</f>
        <v>299</v>
      </c>
      <c r="F102" s="224">
        <f>F16+F34+F53+7</f>
        <v>36</v>
      </c>
      <c r="G102" s="224">
        <f>G16+G34+G53+17</f>
        <v>177</v>
      </c>
      <c r="H102" s="224">
        <f>H16+H34+H53+22</f>
        <v>254</v>
      </c>
      <c r="I102" s="224">
        <f>I16+I34+I53+31</f>
        <v>299</v>
      </c>
      <c r="J102" s="275"/>
      <c r="K102" s="258">
        <f>F101-F121</f>
        <v>-0.12091812500000287</v>
      </c>
      <c r="L102" s="258">
        <f>G101-G121</f>
        <v>-1.2418362500000057</v>
      </c>
      <c r="M102" s="258">
        <f t="shared" ref="M102:N102" si="34">H101-H121</f>
        <v>7.7245624999932261E-2</v>
      </c>
      <c r="N102" s="258">
        <f t="shared" si="34"/>
        <v>-4.3672500000070613E-2</v>
      </c>
    </row>
    <row r="103" spans="1:14" ht="20.100000000000001" customHeight="1">
      <c r="A103" s="8" t="s">
        <v>29</v>
      </c>
      <c r="B103" s="74">
        <v>1540</v>
      </c>
      <c r="C103" s="224">
        <f t="shared" ref="C103:E103" si="35">C88-C97-C100-C101-C102-C77</f>
        <v>1791</v>
      </c>
      <c r="D103" s="224">
        <f t="shared" si="35"/>
        <v>1648</v>
      </c>
      <c r="E103" s="224">
        <f t="shared" si="35"/>
        <v>1479</v>
      </c>
      <c r="F103" s="224">
        <f>F88-F97-F100-F101-F102-F77</f>
        <v>338</v>
      </c>
      <c r="G103" s="224">
        <f t="shared" ref="G103:H103" si="36">G88-G97-G100-G101-G102-G77</f>
        <v>1107</v>
      </c>
      <c r="H103" s="224">
        <f t="shared" si="36"/>
        <v>1207</v>
      </c>
      <c r="I103" s="224">
        <f t="shared" ref="I103" si="37">I88-I97-I100-I101-I102-I77</f>
        <v>1364</v>
      </c>
      <c r="J103" s="235"/>
    </row>
    <row r="104" spans="1:14" s="5" customFormat="1" ht="20.100000000000001" customHeight="1">
      <c r="A104" s="10" t="s">
        <v>60</v>
      </c>
      <c r="B104" s="73">
        <v>1550</v>
      </c>
      <c r="C104" s="170">
        <f t="shared" ref="C104:I104" si="38">SUM(C97,C100:C103)</f>
        <v>8923</v>
      </c>
      <c r="D104" s="170">
        <f t="shared" si="38"/>
        <v>9450</v>
      </c>
      <c r="E104" s="250">
        <f>SUM(E97,E100:E103)</f>
        <v>8763</v>
      </c>
      <c r="F104" s="170">
        <f t="shared" si="38"/>
        <v>1993</v>
      </c>
      <c r="G104" s="170">
        <f t="shared" si="38"/>
        <v>4907</v>
      </c>
      <c r="H104" s="170">
        <f t="shared" si="38"/>
        <v>6846</v>
      </c>
      <c r="I104" s="170">
        <f t="shared" si="38"/>
        <v>8783</v>
      </c>
      <c r="J104" s="141"/>
    </row>
    <row r="105" spans="1:14" s="5" customFormat="1" ht="20.100000000000001" customHeight="1">
      <c r="A105" s="131"/>
      <c r="B105" s="135"/>
      <c r="C105" s="136"/>
      <c r="D105" s="136"/>
      <c r="E105" s="240"/>
      <c r="F105" s="237"/>
      <c r="G105" s="237"/>
      <c r="H105" s="237"/>
      <c r="I105" s="237"/>
      <c r="J105" s="138"/>
    </row>
    <row r="106" spans="1:14" s="5" customFormat="1" ht="15.75" customHeight="1">
      <c r="A106" s="131"/>
      <c r="B106" s="135"/>
      <c r="C106" s="137"/>
      <c r="D106" s="137"/>
      <c r="E106" s="240"/>
      <c r="F106" s="237"/>
      <c r="G106" s="237"/>
      <c r="H106" s="237"/>
      <c r="I106" s="237"/>
      <c r="J106" s="138"/>
    </row>
    <row r="107" spans="1:14" ht="16.5" customHeight="1">
      <c r="A107" s="113"/>
      <c r="B107" s="109"/>
      <c r="C107" s="129"/>
      <c r="D107" s="130"/>
      <c r="E107" s="241"/>
      <c r="F107" s="237"/>
      <c r="G107" s="237"/>
      <c r="H107" s="237"/>
      <c r="I107" s="237"/>
      <c r="J107" s="108"/>
    </row>
    <row r="108" spans="1:14" s="215" customFormat="1" ht="16.5" customHeight="1">
      <c r="A108" s="212"/>
      <c r="B108" s="213"/>
      <c r="C108" s="214"/>
      <c r="D108" s="130"/>
      <c r="E108" s="242"/>
      <c r="F108" s="237"/>
      <c r="G108" s="237"/>
      <c r="H108" s="237"/>
      <c r="I108" s="237"/>
      <c r="J108" s="108"/>
    </row>
    <row r="109" spans="1:14" s="5" customFormat="1" ht="20.25" customHeight="1">
      <c r="A109" s="173" t="s">
        <v>400</v>
      </c>
      <c r="B109" s="147"/>
      <c r="C109" s="384" t="s">
        <v>401</v>
      </c>
      <c r="D109" s="385"/>
      <c r="E109" s="385"/>
      <c r="F109" s="178"/>
      <c r="G109" s="386" t="s">
        <v>399</v>
      </c>
      <c r="H109" s="386"/>
      <c r="I109" s="386"/>
      <c r="J109" s="138"/>
    </row>
    <row r="110" spans="1:14" s="1" customFormat="1" ht="20.100000000000001" customHeight="1">
      <c r="A110" s="95" t="s">
        <v>379</v>
      </c>
      <c r="B110" s="108"/>
      <c r="C110" s="376" t="s">
        <v>84</v>
      </c>
      <c r="D110" s="376"/>
      <c r="E110" s="376"/>
      <c r="F110" s="134"/>
      <c r="G110" s="377" t="s">
        <v>115</v>
      </c>
      <c r="H110" s="377"/>
      <c r="I110" s="377"/>
      <c r="J110" s="139"/>
    </row>
    <row r="111" spans="1:14" ht="20.100000000000001" customHeight="1">
      <c r="A111" s="220"/>
      <c r="B111" s="221"/>
      <c r="C111" s="222">
        <f>C104+C77</f>
        <v>8931</v>
      </c>
      <c r="D111" s="323">
        <f t="shared" ref="D111:I111" si="39">D104+D77</f>
        <v>9460</v>
      </c>
      <c r="E111" s="323">
        <f t="shared" si="39"/>
        <v>8773</v>
      </c>
      <c r="F111" s="323">
        <f t="shared" si="39"/>
        <v>1993</v>
      </c>
      <c r="G111" s="323">
        <f t="shared" si="39"/>
        <v>4907</v>
      </c>
      <c r="H111" s="323">
        <f t="shared" si="39"/>
        <v>6846</v>
      </c>
      <c r="I111" s="323">
        <f t="shared" si="39"/>
        <v>8791</v>
      </c>
      <c r="J111" s="108"/>
    </row>
    <row r="112" spans="1:14">
      <c r="A112" s="220"/>
      <c r="B112" s="221"/>
      <c r="C112" s="222"/>
      <c r="D112" s="130"/>
      <c r="E112" s="243"/>
      <c r="F112" s="130"/>
      <c r="G112" s="130"/>
      <c r="H112" s="130"/>
      <c r="I112" s="130"/>
      <c r="J112" s="108"/>
    </row>
    <row r="113" spans="1:10">
      <c r="A113" s="220"/>
      <c r="B113" s="243" t="s">
        <v>462</v>
      </c>
      <c r="C113" s="222">
        <f>C25-C114</f>
        <v>254</v>
      </c>
      <c r="D113" s="329">
        <f>D25-D114</f>
        <v>219</v>
      </c>
      <c r="E113" s="247">
        <v>219</v>
      </c>
      <c r="F113" s="130">
        <v>27</v>
      </c>
      <c r="G113" s="130">
        <v>111</v>
      </c>
      <c r="H113" s="130">
        <v>152</v>
      </c>
      <c r="I113" s="251">
        <v>219</v>
      </c>
      <c r="J113" s="237"/>
    </row>
    <row r="114" spans="1:10" ht="37.5">
      <c r="A114" s="220"/>
      <c r="B114" s="243" t="s">
        <v>213</v>
      </c>
      <c r="C114" s="222">
        <v>25</v>
      </c>
      <c r="D114" s="130">
        <v>31</v>
      </c>
      <c r="E114" s="247">
        <v>31</v>
      </c>
      <c r="F114" s="130">
        <v>7</v>
      </c>
      <c r="G114" s="130">
        <v>17</v>
      </c>
      <c r="H114" s="130">
        <v>22</v>
      </c>
      <c r="I114" s="251">
        <v>31</v>
      </c>
      <c r="J114" s="108"/>
    </row>
    <row r="115" spans="1:10">
      <c r="A115" s="220"/>
      <c r="B115" s="243" t="s">
        <v>461</v>
      </c>
      <c r="C115" s="222"/>
      <c r="D115" s="130"/>
      <c r="F115" s="130">
        <f>F113+F114</f>
        <v>34</v>
      </c>
      <c r="G115" s="251">
        <f t="shared" ref="G115:I115" si="40">G113+G114</f>
        <v>128</v>
      </c>
      <c r="H115" s="251">
        <f t="shared" si="40"/>
        <v>174</v>
      </c>
      <c r="I115" s="251">
        <f t="shared" si="40"/>
        <v>250</v>
      </c>
      <c r="J115" s="108"/>
    </row>
    <row r="116" spans="1:10">
      <c r="A116" s="220"/>
      <c r="B116" s="243" t="s">
        <v>463</v>
      </c>
      <c r="C116" s="222"/>
      <c r="D116" s="130"/>
      <c r="F116" s="236">
        <f t="shared" ref="F116:H116" si="41">F25</f>
        <v>34</v>
      </c>
      <c r="G116" s="257">
        <f t="shared" si="41"/>
        <v>128</v>
      </c>
      <c r="H116" s="257">
        <f t="shared" si="41"/>
        <v>174</v>
      </c>
      <c r="I116" s="257">
        <f>I25</f>
        <v>250</v>
      </c>
      <c r="J116" s="108"/>
    </row>
    <row r="117" spans="1:10">
      <c r="A117" s="220"/>
      <c r="B117" s="221"/>
      <c r="C117" s="222"/>
      <c r="D117" s="130"/>
      <c r="E117" s="241"/>
      <c r="F117" s="108"/>
      <c r="G117" s="108"/>
      <c r="H117" s="108"/>
      <c r="I117" s="108"/>
      <c r="J117" s="108"/>
    </row>
    <row r="118" spans="1:10">
      <c r="A118" s="220"/>
      <c r="B118" s="221"/>
      <c r="C118" s="222"/>
      <c r="D118" s="130"/>
      <c r="E118" s="241"/>
      <c r="F118" s="108"/>
      <c r="G118" s="108"/>
      <c r="H118" s="108"/>
      <c r="I118" s="108"/>
      <c r="J118" s="108"/>
    </row>
    <row r="119" spans="1:10">
      <c r="A119" s="220"/>
      <c r="B119" s="221"/>
      <c r="C119" s="222"/>
      <c r="D119" s="130"/>
      <c r="E119" s="241"/>
      <c r="F119" s="108"/>
      <c r="G119" s="108"/>
      <c r="H119" s="108"/>
      <c r="I119" s="108"/>
      <c r="J119" s="108"/>
    </row>
    <row r="120" spans="1:10">
      <c r="A120" s="220"/>
      <c r="B120" s="221"/>
      <c r="C120" s="222"/>
      <c r="D120" s="130"/>
      <c r="E120" s="244" t="s">
        <v>433</v>
      </c>
      <c r="F120" s="217">
        <f>(штатка!W45+штатка!W46)/1000</f>
        <v>135.68125000000001</v>
      </c>
      <c r="G120" s="217">
        <f>(штатка!X45+штатка!X46)/1000</f>
        <v>271.36250000000001</v>
      </c>
      <c r="H120" s="217">
        <f>(штатка!Y45+штатка!Y46)/1000</f>
        <v>407.04374999999999</v>
      </c>
      <c r="I120" s="217">
        <f>(штатка!Z45+штатка!Z46)/1000</f>
        <v>542.72500000000002</v>
      </c>
      <c r="J120" s="108"/>
    </row>
    <row r="121" spans="1:10">
      <c r="A121" s="220"/>
      <c r="B121" s="221"/>
      <c r="C121" s="222"/>
      <c r="D121" s="130"/>
      <c r="E121" s="244" t="s">
        <v>434</v>
      </c>
      <c r="F121" s="219">
        <f>(F100-F120)*22%+F120*8.41%</f>
        <v>234.120918125</v>
      </c>
      <c r="G121" s="219">
        <f>(G100-G120)*22%+G120*8.41%</f>
        <v>468.24183625000001</v>
      </c>
      <c r="H121" s="219">
        <f>(H100-H120)*22%+H120*8.41%</f>
        <v>701.92275437500007</v>
      </c>
      <c r="I121" s="219">
        <f>(I100-I120)*22%+I120*8.41%</f>
        <v>936.04367250000007</v>
      </c>
      <c r="J121" s="108"/>
    </row>
    <row r="122" spans="1:10">
      <c r="A122" s="220"/>
      <c r="B122" s="221"/>
      <c r="C122" s="222"/>
      <c r="D122" s="130"/>
      <c r="E122" s="245" t="s">
        <v>435</v>
      </c>
      <c r="F122" s="218">
        <f>F100*18%</f>
        <v>206.64</v>
      </c>
      <c r="G122" s="218">
        <f>G100*18%</f>
        <v>413.28</v>
      </c>
      <c r="H122" s="218">
        <f>H100*18%</f>
        <v>619.55999999999995</v>
      </c>
      <c r="I122" s="218">
        <f>I100*18%</f>
        <v>826.19999999999993</v>
      </c>
      <c r="J122" s="108"/>
    </row>
    <row r="123" spans="1:10">
      <c r="A123" s="220"/>
      <c r="B123" s="221"/>
      <c r="C123" s="222"/>
      <c r="D123" s="130"/>
      <c r="E123" s="245" t="s">
        <v>436</v>
      </c>
      <c r="F123" s="218">
        <f>F100*1.5%</f>
        <v>17.22</v>
      </c>
      <c r="G123" s="218">
        <f>G100*1.5%</f>
        <v>34.44</v>
      </c>
      <c r="H123" s="218">
        <f>H100*1.5%</f>
        <v>51.629999999999995</v>
      </c>
      <c r="I123" s="218">
        <f>I100*1.5%</f>
        <v>68.849999999999994</v>
      </c>
      <c r="J123" s="108"/>
    </row>
    <row r="124" spans="1:10">
      <c r="A124" s="220"/>
      <c r="B124" s="221"/>
      <c r="C124" s="222"/>
      <c r="D124" s="130"/>
      <c r="E124" s="243"/>
      <c r="F124" s="130"/>
      <c r="G124" s="130"/>
      <c r="H124" s="130"/>
      <c r="I124" s="130"/>
      <c r="J124" s="108"/>
    </row>
    <row r="125" spans="1:10">
      <c r="A125" s="220"/>
      <c r="B125" s="221"/>
      <c r="C125" s="222"/>
      <c r="D125" s="130"/>
      <c r="E125" s="243"/>
      <c r="F125" s="130"/>
      <c r="G125" s="130"/>
      <c r="H125" s="130"/>
      <c r="I125" s="130"/>
      <c r="J125" s="108"/>
    </row>
    <row r="126" spans="1:10">
      <c r="A126" s="220"/>
      <c r="B126" s="221"/>
      <c r="C126" s="222"/>
      <c r="D126" s="130"/>
      <c r="E126" s="243"/>
      <c r="F126" s="130"/>
      <c r="G126" s="130"/>
      <c r="H126" s="130"/>
      <c r="I126" s="130"/>
      <c r="J126" s="108"/>
    </row>
    <row r="127" spans="1:10">
      <c r="A127" s="220"/>
      <c r="B127" s="221"/>
      <c r="C127" s="222"/>
      <c r="D127" s="130"/>
      <c r="E127" s="243"/>
      <c r="F127" s="130"/>
      <c r="G127" s="130"/>
      <c r="H127" s="130"/>
      <c r="I127" s="130"/>
      <c r="J127" s="108"/>
    </row>
    <row r="128" spans="1:10">
      <c r="A128" s="27"/>
      <c r="C128" s="32"/>
      <c r="D128" s="28"/>
      <c r="E128" s="246"/>
      <c r="F128" s="28"/>
      <c r="G128" s="28"/>
      <c r="H128" s="28"/>
      <c r="I128" s="28"/>
    </row>
    <row r="129" spans="1:9">
      <c r="A129" s="27"/>
      <c r="C129" s="32"/>
      <c r="D129" s="28"/>
      <c r="E129" s="246"/>
      <c r="F129" s="28"/>
      <c r="G129" s="28"/>
      <c r="H129" s="28"/>
      <c r="I129" s="28"/>
    </row>
    <row r="130" spans="1:9">
      <c r="A130" s="27"/>
      <c r="C130" s="32"/>
      <c r="D130" s="28"/>
      <c r="E130" s="246"/>
      <c r="F130" s="28"/>
      <c r="G130" s="28"/>
      <c r="H130" s="28"/>
      <c r="I130" s="28"/>
    </row>
    <row r="131" spans="1:9">
      <c r="A131" s="27"/>
      <c r="C131" s="32"/>
      <c r="D131" s="28"/>
      <c r="E131" s="246"/>
      <c r="F131" s="28"/>
      <c r="G131" s="28"/>
      <c r="H131" s="28"/>
      <c r="I131" s="28"/>
    </row>
    <row r="132" spans="1:9">
      <c r="A132" s="27"/>
      <c r="C132" s="32"/>
      <c r="D132" s="28"/>
      <c r="E132" s="246"/>
      <c r="F132" s="28"/>
      <c r="G132" s="28"/>
      <c r="H132" s="28"/>
      <c r="I132" s="28"/>
    </row>
    <row r="133" spans="1:9">
      <c r="A133" s="27"/>
      <c r="C133" s="32"/>
      <c r="D133" s="28"/>
      <c r="E133" s="246"/>
      <c r="F133" s="28"/>
      <c r="G133" s="28"/>
      <c r="H133" s="28"/>
      <c r="I133" s="28"/>
    </row>
    <row r="134" spans="1:9">
      <c r="A134" s="27"/>
      <c r="C134" s="32"/>
      <c r="D134" s="28"/>
      <c r="E134" s="246"/>
      <c r="F134" s="28"/>
      <c r="G134" s="28"/>
      <c r="H134" s="28"/>
      <c r="I134" s="28"/>
    </row>
    <row r="135" spans="1:9">
      <c r="A135" s="27"/>
      <c r="C135" s="32"/>
      <c r="D135" s="28"/>
      <c r="E135" s="246"/>
      <c r="F135" s="28"/>
      <c r="G135" s="28"/>
      <c r="H135" s="28"/>
      <c r="I135" s="28"/>
    </row>
    <row r="136" spans="1:9">
      <c r="A136" s="27"/>
      <c r="C136" s="32"/>
      <c r="D136" s="28"/>
      <c r="E136" s="246"/>
      <c r="F136" s="28"/>
      <c r="G136" s="28"/>
      <c r="H136" s="28"/>
      <c r="I136" s="28"/>
    </row>
    <row r="137" spans="1:9">
      <c r="A137" s="27"/>
      <c r="C137" s="32"/>
      <c r="D137" s="28"/>
      <c r="E137" s="246"/>
      <c r="F137" s="28"/>
      <c r="G137" s="28"/>
      <c r="H137" s="28"/>
      <c r="I137" s="28"/>
    </row>
    <row r="138" spans="1:9">
      <c r="A138" s="27"/>
      <c r="C138" s="32"/>
      <c r="D138" s="28"/>
      <c r="E138" s="246"/>
      <c r="F138" s="28"/>
      <c r="G138" s="28"/>
      <c r="H138" s="28"/>
      <c r="I138" s="28"/>
    </row>
    <row r="139" spans="1:9">
      <c r="A139" s="27"/>
      <c r="C139" s="32"/>
      <c r="D139" s="28"/>
      <c r="E139" s="246"/>
      <c r="F139" s="28"/>
      <c r="G139" s="28"/>
      <c r="H139" s="28"/>
      <c r="I139" s="28"/>
    </row>
    <row r="140" spans="1:9">
      <c r="A140" s="27"/>
      <c r="C140" s="32"/>
      <c r="D140" s="28"/>
      <c r="E140" s="246"/>
      <c r="F140" s="28"/>
      <c r="G140" s="28"/>
      <c r="H140" s="28"/>
      <c r="I140" s="28"/>
    </row>
    <row r="141" spans="1:9">
      <c r="A141" s="27"/>
      <c r="C141" s="32"/>
      <c r="D141" s="28"/>
      <c r="E141" s="246"/>
      <c r="F141" s="28"/>
      <c r="G141" s="28"/>
      <c r="H141" s="28"/>
      <c r="I141" s="28"/>
    </row>
    <row r="142" spans="1:9">
      <c r="A142" s="27"/>
      <c r="C142" s="32"/>
      <c r="D142" s="28"/>
      <c r="E142" s="246"/>
      <c r="F142" s="28"/>
      <c r="G142" s="28"/>
      <c r="H142" s="28"/>
      <c r="I142" s="28"/>
    </row>
    <row r="143" spans="1:9">
      <c r="A143" s="27"/>
      <c r="C143" s="32"/>
      <c r="D143" s="28"/>
      <c r="E143" s="246"/>
      <c r="F143" s="28"/>
      <c r="G143" s="28"/>
      <c r="H143" s="28"/>
      <c r="I143" s="28"/>
    </row>
    <row r="144" spans="1:9">
      <c r="A144" s="27"/>
      <c r="C144" s="32"/>
      <c r="D144" s="28"/>
      <c r="E144" s="246"/>
      <c r="F144" s="28"/>
      <c r="G144" s="28"/>
      <c r="H144" s="28"/>
      <c r="I144" s="28"/>
    </row>
    <row r="145" spans="1:9">
      <c r="A145" s="27"/>
      <c r="C145" s="32"/>
      <c r="D145" s="28"/>
      <c r="E145" s="246"/>
      <c r="F145" s="28"/>
      <c r="G145" s="28"/>
      <c r="H145" s="28"/>
      <c r="I145" s="28"/>
    </row>
    <row r="146" spans="1:9">
      <c r="A146" s="27"/>
      <c r="C146" s="32"/>
      <c r="D146" s="28"/>
      <c r="E146" s="246"/>
      <c r="F146" s="28"/>
      <c r="G146" s="28"/>
      <c r="H146" s="28"/>
      <c r="I146" s="28"/>
    </row>
    <row r="147" spans="1:9">
      <c r="A147" s="27"/>
      <c r="C147" s="32"/>
      <c r="D147" s="28"/>
      <c r="E147" s="246"/>
      <c r="F147" s="28"/>
      <c r="G147" s="28"/>
      <c r="H147" s="28"/>
      <c r="I147" s="28"/>
    </row>
    <row r="148" spans="1:9">
      <c r="A148" s="27"/>
      <c r="C148" s="32"/>
      <c r="D148" s="28"/>
      <c r="E148" s="246"/>
      <c r="F148" s="28"/>
      <c r="G148" s="28"/>
      <c r="H148" s="28"/>
      <c r="I148" s="28"/>
    </row>
    <row r="149" spans="1:9">
      <c r="A149" s="27"/>
      <c r="C149" s="32"/>
      <c r="D149" s="28"/>
      <c r="E149" s="246"/>
      <c r="F149" s="28"/>
      <c r="G149" s="28"/>
      <c r="H149" s="28"/>
      <c r="I149" s="28"/>
    </row>
    <row r="150" spans="1:9">
      <c r="A150" s="27"/>
      <c r="C150" s="32"/>
      <c r="D150" s="28"/>
      <c r="E150" s="246"/>
      <c r="F150" s="28"/>
      <c r="G150" s="28"/>
      <c r="H150" s="28"/>
      <c r="I150" s="28"/>
    </row>
    <row r="151" spans="1:9">
      <c r="A151" s="27"/>
      <c r="C151" s="32"/>
      <c r="D151" s="28"/>
      <c r="E151" s="246"/>
      <c r="F151" s="28"/>
      <c r="G151" s="28"/>
      <c r="H151" s="28"/>
      <c r="I151" s="28"/>
    </row>
    <row r="152" spans="1:9">
      <c r="A152" s="27"/>
      <c r="C152" s="32"/>
      <c r="D152" s="28"/>
      <c r="E152" s="246"/>
      <c r="F152" s="28"/>
      <c r="G152" s="28"/>
      <c r="H152" s="28"/>
      <c r="I152" s="28"/>
    </row>
    <row r="153" spans="1:9">
      <c r="A153" s="27"/>
      <c r="C153" s="32"/>
      <c r="D153" s="28"/>
      <c r="E153" s="246"/>
      <c r="F153" s="28"/>
      <c r="G153" s="28"/>
      <c r="H153" s="28"/>
      <c r="I153" s="28"/>
    </row>
    <row r="154" spans="1:9">
      <c r="A154" s="27"/>
      <c r="C154" s="32"/>
      <c r="D154" s="28"/>
      <c r="E154" s="246"/>
      <c r="F154" s="28"/>
      <c r="G154" s="28"/>
      <c r="H154" s="28"/>
      <c r="I154" s="28"/>
    </row>
    <row r="155" spans="1:9">
      <c r="A155" s="27"/>
      <c r="C155" s="32"/>
      <c r="D155" s="28"/>
      <c r="E155" s="246"/>
      <c r="F155" s="28"/>
      <c r="G155" s="28"/>
      <c r="H155" s="28"/>
      <c r="I155" s="28"/>
    </row>
    <row r="156" spans="1:9">
      <c r="A156" s="27"/>
      <c r="C156" s="32"/>
      <c r="D156" s="28"/>
      <c r="E156" s="246"/>
      <c r="F156" s="28"/>
      <c r="G156" s="28"/>
      <c r="H156" s="28"/>
      <c r="I156" s="28"/>
    </row>
    <row r="157" spans="1:9">
      <c r="A157" s="27"/>
      <c r="C157" s="32"/>
      <c r="D157" s="28"/>
      <c r="E157" s="246"/>
      <c r="F157" s="28"/>
      <c r="G157" s="28"/>
      <c r="H157" s="28"/>
      <c r="I157" s="28"/>
    </row>
    <row r="158" spans="1:9">
      <c r="A158" s="27"/>
      <c r="C158" s="32"/>
      <c r="D158" s="28"/>
      <c r="E158" s="246"/>
      <c r="F158" s="28"/>
      <c r="G158" s="28"/>
      <c r="H158" s="28"/>
      <c r="I158" s="28"/>
    </row>
    <row r="159" spans="1:9">
      <c r="A159" s="27"/>
      <c r="C159" s="32"/>
      <c r="D159" s="28"/>
      <c r="E159" s="246"/>
      <c r="F159" s="28"/>
      <c r="G159" s="28"/>
      <c r="H159" s="28"/>
      <c r="I159" s="28"/>
    </row>
    <row r="160" spans="1:9">
      <c r="A160" s="27"/>
      <c r="C160" s="32"/>
      <c r="D160" s="28"/>
      <c r="E160" s="246"/>
      <c r="F160" s="28"/>
      <c r="G160" s="28"/>
      <c r="H160" s="28"/>
      <c r="I160" s="28"/>
    </row>
    <row r="161" spans="1:9">
      <c r="A161" s="27"/>
      <c r="C161" s="32"/>
      <c r="D161" s="28"/>
      <c r="E161" s="246"/>
      <c r="F161" s="28"/>
      <c r="G161" s="28"/>
      <c r="H161" s="28"/>
      <c r="I161" s="28"/>
    </row>
    <row r="162" spans="1:9">
      <c r="A162" s="27"/>
      <c r="C162" s="32"/>
      <c r="D162" s="28"/>
      <c r="E162" s="246"/>
      <c r="F162" s="28"/>
      <c r="G162" s="28"/>
      <c r="H162" s="28"/>
      <c r="I162" s="28"/>
    </row>
    <row r="163" spans="1:9">
      <c r="A163" s="27"/>
      <c r="C163" s="32"/>
      <c r="D163" s="28"/>
      <c r="E163" s="246"/>
      <c r="F163" s="28"/>
      <c r="G163" s="28"/>
      <c r="H163" s="28"/>
      <c r="I163" s="28"/>
    </row>
    <row r="164" spans="1:9">
      <c r="A164" s="27"/>
      <c r="C164" s="32"/>
      <c r="D164" s="28"/>
      <c r="E164" s="246"/>
      <c r="F164" s="28"/>
      <c r="G164" s="28"/>
      <c r="H164" s="28"/>
      <c r="I164" s="28"/>
    </row>
    <row r="165" spans="1:9">
      <c r="A165" s="27"/>
      <c r="C165" s="32"/>
      <c r="D165" s="28"/>
      <c r="E165" s="246"/>
      <c r="F165" s="28"/>
      <c r="G165" s="28"/>
      <c r="H165" s="28"/>
      <c r="I165" s="28"/>
    </row>
    <row r="166" spans="1:9">
      <c r="A166" s="27"/>
      <c r="C166" s="32"/>
      <c r="D166" s="28"/>
      <c r="E166" s="246"/>
      <c r="F166" s="28"/>
      <c r="G166" s="28"/>
      <c r="H166" s="28"/>
      <c r="I166" s="28"/>
    </row>
    <row r="167" spans="1:9">
      <c r="A167" s="27"/>
      <c r="C167" s="32"/>
      <c r="D167" s="28"/>
      <c r="E167" s="246"/>
      <c r="F167" s="28"/>
      <c r="G167" s="28"/>
      <c r="H167" s="28"/>
      <c r="I167" s="28"/>
    </row>
    <row r="168" spans="1:9">
      <c r="A168" s="27"/>
      <c r="C168" s="32"/>
      <c r="D168" s="28"/>
      <c r="E168" s="246"/>
      <c r="F168" s="28"/>
      <c r="G168" s="28"/>
      <c r="H168" s="28"/>
      <c r="I168" s="28"/>
    </row>
    <row r="169" spans="1:9">
      <c r="A169" s="50"/>
    </row>
    <row r="170" spans="1:9">
      <c r="A170" s="50"/>
    </row>
    <row r="171" spans="1:9">
      <c r="A171" s="50"/>
    </row>
    <row r="172" spans="1:9">
      <c r="A172" s="50"/>
    </row>
    <row r="173" spans="1:9">
      <c r="A173" s="50"/>
    </row>
    <row r="174" spans="1:9">
      <c r="A174" s="50"/>
    </row>
    <row r="175" spans="1:9">
      <c r="A175" s="50"/>
    </row>
    <row r="176" spans="1:9">
      <c r="A176" s="50"/>
    </row>
    <row r="177" spans="1:5">
      <c r="A177" s="50"/>
    </row>
    <row r="178" spans="1:5">
      <c r="A178" s="50"/>
    </row>
    <row r="179" spans="1:5">
      <c r="A179" s="50"/>
      <c r="B179" s="2"/>
      <c r="C179" s="2"/>
      <c r="D179" s="2"/>
      <c r="E179" s="248"/>
    </row>
    <row r="180" spans="1:5">
      <c r="A180" s="50"/>
      <c r="B180" s="2"/>
      <c r="C180" s="2"/>
      <c r="D180" s="2"/>
      <c r="E180" s="248"/>
    </row>
    <row r="181" spans="1:5">
      <c r="A181" s="50"/>
      <c r="B181" s="2"/>
      <c r="C181" s="2"/>
      <c r="D181" s="2"/>
      <c r="E181" s="248"/>
    </row>
    <row r="182" spans="1:5">
      <c r="A182" s="50"/>
      <c r="B182" s="2"/>
      <c r="C182" s="2"/>
      <c r="D182" s="2"/>
      <c r="E182" s="248"/>
    </row>
    <row r="183" spans="1:5">
      <c r="A183" s="50"/>
      <c r="B183" s="2"/>
      <c r="C183" s="2"/>
      <c r="D183" s="2"/>
      <c r="E183" s="248"/>
    </row>
    <row r="184" spans="1:5">
      <c r="A184" s="50"/>
      <c r="B184" s="2"/>
      <c r="C184" s="2"/>
      <c r="D184" s="2"/>
      <c r="E184" s="248"/>
    </row>
    <row r="185" spans="1:5">
      <c r="A185" s="50"/>
      <c r="B185" s="2"/>
      <c r="C185" s="2"/>
      <c r="D185" s="2"/>
      <c r="E185" s="248"/>
    </row>
    <row r="186" spans="1:5">
      <c r="A186" s="50"/>
      <c r="B186" s="2"/>
      <c r="C186" s="2"/>
      <c r="D186" s="2"/>
      <c r="E186" s="248"/>
    </row>
    <row r="187" spans="1:5">
      <c r="A187" s="50"/>
      <c r="B187" s="2"/>
      <c r="C187" s="2"/>
      <c r="D187" s="2"/>
      <c r="E187" s="248"/>
    </row>
    <row r="188" spans="1:5">
      <c r="A188" s="50"/>
      <c r="B188" s="2"/>
      <c r="C188" s="2"/>
      <c r="D188" s="2"/>
      <c r="E188" s="248"/>
    </row>
    <row r="189" spans="1:5">
      <c r="A189" s="50"/>
      <c r="B189" s="2"/>
      <c r="C189" s="2"/>
      <c r="D189" s="2"/>
      <c r="E189" s="248"/>
    </row>
    <row r="190" spans="1:5">
      <c r="A190" s="50"/>
      <c r="B190" s="2"/>
      <c r="C190" s="2"/>
      <c r="D190" s="2"/>
      <c r="E190" s="248"/>
    </row>
    <row r="191" spans="1:5">
      <c r="A191" s="50"/>
      <c r="B191" s="2"/>
      <c r="C191" s="2"/>
      <c r="D191" s="2"/>
      <c r="E191" s="248"/>
    </row>
    <row r="192" spans="1:5">
      <c r="A192" s="50"/>
      <c r="B192" s="2"/>
      <c r="C192" s="2"/>
      <c r="D192" s="2"/>
      <c r="E192" s="248"/>
    </row>
    <row r="193" spans="1:5">
      <c r="A193" s="50"/>
      <c r="B193" s="2"/>
      <c r="C193" s="2"/>
      <c r="D193" s="2"/>
      <c r="E193" s="248"/>
    </row>
    <row r="194" spans="1:5">
      <c r="A194" s="50"/>
      <c r="B194" s="2"/>
      <c r="C194" s="2"/>
      <c r="D194" s="2"/>
      <c r="E194" s="248"/>
    </row>
    <row r="195" spans="1:5">
      <c r="A195" s="50"/>
      <c r="B195" s="2"/>
      <c r="C195" s="2"/>
      <c r="D195" s="2"/>
      <c r="E195" s="248"/>
    </row>
    <row r="196" spans="1:5">
      <c r="A196" s="50"/>
      <c r="B196" s="2"/>
      <c r="C196" s="2"/>
      <c r="D196" s="2"/>
      <c r="E196" s="248"/>
    </row>
    <row r="197" spans="1:5">
      <c r="A197" s="50"/>
      <c r="B197" s="2"/>
      <c r="C197" s="2"/>
      <c r="D197" s="2"/>
      <c r="E197" s="248"/>
    </row>
    <row r="198" spans="1:5">
      <c r="A198" s="50"/>
      <c r="B198" s="2"/>
      <c r="C198" s="2"/>
      <c r="D198" s="2"/>
      <c r="E198" s="248"/>
    </row>
    <row r="199" spans="1:5">
      <c r="A199" s="50"/>
      <c r="B199" s="2"/>
      <c r="C199" s="2"/>
      <c r="D199" s="2"/>
      <c r="E199" s="248"/>
    </row>
    <row r="200" spans="1:5">
      <c r="A200" s="50"/>
      <c r="B200" s="2"/>
      <c r="C200" s="2"/>
      <c r="D200" s="2"/>
      <c r="E200" s="248"/>
    </row>
    <row r="201" spans="1:5">
      <c r="A201" s="50"/>
      <c r="B201" s="2"/>
      <c r="C201" s="2"/>
      <c r="D201" s="2"/>
      <c r="E201" s="248"/>
    </row>
    <row r="202" spans="1:5">
      <c r="A202" s="50"/>
      <c r="B202" s="2"/>
      <c r="C202" s="2"/>
      <c r="D202" s="2"/>
      <c r="E202" s="248"/>
    </row>
    <row r="203" spans="1:5">
      <c r="A203" s="50"/>
      <c r="B203" s="2"/>
      <c r="C203" s="2"/>
      <c r="D203" s="2"/>
      <c r="E203" s="248"/>
    </row>
    <row r="204" spans="1:5">
      <c r="A204" s="50"/>
      <c r="B204" s="2"/>
      <c r="C204" s="2"/>
      <c r="D204" s="2"/>
      <c r="E204" s="248"/>
    </row>
    <row r="205" spans="1:5">
      <c r="A205" s="50"/>
      <c r="B205" s="2"/>
      <c r="C205" s="2"/>
      <c r="D205" s="2"/>
      <c r="E205" s="248"/>
    </row>
    <row r="206" spans="1:5">
      <c r="A206" s="50"/>
      <c r="B206" s="2"/>
      <c r="C206" s="2"/>
      <c r="D206" s="2"/>
      <c r="E206" s="248"/>
    </row>
    <row r="207" spans="1:5">
      <c r="A207" s="50"/>
      <c r="B207" s="2"/>
      <c r="C207" s="2"/>
      <c r="D207" s="2"/>
      <c r="E207" s="248"/>
    </row>
    <row r="208" spans="1:5">
      <c r="A208" s="50"/>
      <c r="B208" s="2"/>
      <c r="C208" s="2"/>
      <c r="D208" s="2"/>
      <c r="E208" s="248"/>
    </row>
    <row r="209" spans="1:5">
      <c r="A209" s="50"/>
      <c r="B209" s="2"/>
      <c r="C209" s="2"/>
      <c r="D209" s="2"/>
      <c r="E209" s="248"/>
    </row>
    <row r="210" spans="1:5">
      <c r="A210" s="50"/>
      <c r="B210" s="2"/>
      <c r="C210" s="2"/>
      <c r="D210" s="2"/>
      <c r="E210" s="248"/>
    </row>
    <row r="211" spans="1:5">
      <c r="A211" s="50"/>
      <c r="B211" s="2"/>
      <c r="C211" s="2"/>
      <c r="D211" s="2"/>
      <c r="E211" s="248"/>
    </row>
    <row r="212" spans="1:5">
      <c r="A212" s="50"/>
      <c r="B212" s="2"/>
      <c r="C212" s="2"/>
      <c r="D212" s="2"/>
      <c r="E212" s="248"/>
    </row>
    <row r="213" spans="1:5">
      <c r="A213" s="50"/>
      <c r="B213" s="2"/>
      <c r="C213" s="2"/>
      <c r="D213" s="2"/>
      <c r="E213" s="248"/>
    </row>
    <row r="214" spans="1:5">
      <c r="A214" s="50"/>
      <c r="B214" s="2"/>
      <c r="C214" s="2"/>
      <c r="D214" s="2"/>
      <c r="E214" s="248"/>
    </row>
    <row r="215" spans="1:5">
      <c r="A215" s="50"/>
      <c r="B215" s="2"/>
      <c r="C215" s="2"/>
      <c r="D215" s="2"/>
      <c r="E215" s="248"/>
    </row>
    <row r="216" spans="1:5">
      <c r="A216" s="50"/>
      <c r="B216" s="2"/>
      <c r="C216" s="2"/>
      <c r="D216" s="2"/>
      <c r="E216" s="248"/>
    </row>
    <row r="217" spans="1:5">
      <c r="A217" s="50"/>
      <c r="B217" s="2"/>
      <c r="C217" s="2"/>
      <c r="D217" s="2"/>
      <c r="E217" s="248"/>
    </row>
    <row r="218" spans="1:5">
      <c r="A218" s="50"/>
      <c r="B218" s="2"/>
      <c r="C218" s="2"/>
      <c r="D218" s="2"/>
      <c r="E218" s="248"/>
    </row>
    <row r="219" spans="1:5">
      <c r="A219" s="50"/>
      <c r="B219" s="2"/>
      <c r="C219" s="2"/>
      <c r="D219" s="2"/>
      <c r="E219" s="248"/>
    </row>
    <row r="220" spans="1:5">
      <c r="A220" s="50"/>
      <c r="B220" s="2"/>
      <c r="C220" s="2"/>
      <c r="D220" s="2"/>
      <c r="E220" s="248"/>
    </row>
    <row r="221" spans="1:5">
      <c r="A221" s="50"/>
      <c r="B221" s="2"/>
      <c r="C221" s="2"/>
      <c r="D221" s="2"/>
      <c r="E221" s="248"/>
    </row>
    <row r="222" spans="1:5">
      <c r="A222" s="50"/>
      <c r="B222" s="2"/>
      <c r="C222" s="2"/>
      <c r="D222" s="2"/>
      <c r="E222" s="248"/>
    </row>
    <row r="223" spans="1:5">
      <c r="A223" s="50"/>
      <c r="B223" s="2"/>
      <c r="C223" s="2"/>
      <c r="D223" s="2"/>
      <c r="E223" s="248"/>
    </row>
    <row r="224" spans="1:5">
      <c r="A224" s="50"/>
      <c r="B224" s="2"/>
      <c r="C224" s="2"/>
      <c r="D224" s="2"/>
      <c r="E224" s="248"/>
    </row>
    <row r="225" spans="1:5">
      <c r="A225" s="50"/>
      <c r="B225" s="2"/>
      <c r="C225" s="2"/>
      <c r="D225" s="2"/>
      <c r="E225" s="248"/>
    </row>
    <row r="226" spans="1:5">
      <c r="A226" s="50"/>
      <c r="B226" s="2"/>
      <c r="C226" s="2"/>
      <c r="D226" s="2"/>
      <c r="E226" s="248"/>
    </row>
    <row r="227" spans="1:5">
      <c r="A227" s="50"/>
      <c r="B227" s="2"/>
      <c r="C227" s="2"/>
      <c r="D227" s="2"/>
      <c r="E227" s="248"/>
    </row>
    <row r="228" spans="1:5">
      <c r="A228" s="50"/>
      <c r="B228" s="2"/>
      <c r="C228" s="2"/>
      <c r="D228" s="2"/>
      <c r="E228" s="248"/>
    </row>
    <row r="229" spans="1:5">
      <c r="A229" s="50"/>
      <c r="B229" s="2"/>
      <c r="C229" s="2"/>
      <c r="D229" s="2"/>
      <c r="E229" s="248"/>
    </row>
    <row r="230" spans="1:5">
      <c r="A230" s="50"/>
      <c r="B230" s="2"/>
      <c r="C230" s="2"/>
      <c r="D230" s="2"/>
      <c r="E230" s="248"/>
    </row>
    <row r="231" spans="1:5">
      <c r="A231" s="50"/>
      <c r="B231" s="2"/>
      <c r="C231" s="2"/>
      <c r="D231" s="2"/>
      <c r="E231" s="248"/>
    </row>
    <row r="232" spans="1:5">
      <c r="A232" s="50"/>
      <c r="B232" s="2"/>
      <c r="C232" s="2"/>
      <c r="D232" s="2"/>
      <c r="E232" s="248"/>
    </row>
    <row r="233" spans="1:5">
      <c r="A233" s="50"/>
      <c r="B233" s="2"/>
      <c r="C233" s="2"/>
      <c r="D233" s="2"/>
      <c r="E233" s="248"/>
    </row>
    <row r="234" spans="1:5">
      <c r="A234" s="50"/>
      <c r="B234" s="2"/>
      <c r="C234" s="2"/>
      <c r="D234" s="2"/>
      <c r="E234" s="248"/>
    </row>
    <row r="235" spans="1:5">
      <c r="A235" s="50"/>
      <c r="B235" s="2"/>
      <c r="C235" s="2"/>
      <c r="D235" s="2"/>
      <c r="E235" s="248"/>
    </row>
    <row r="236" spans="1:5">
      <c r="A236" s="50"/>
      <c r="B236" s="2"/>
      <c r="C236" s="2"/>
      <c r="D236" s="2"/>
      <c r="E236" s="248"/>
    </row>
    <row r="237" spans="1:5">
      <c r="A237" s="50"/>
      <c r="B237" s="2"/>
      <c r="C237" s="2"/>
      <c r="D237" s="2"/>
      <c r="E237" s="248"/>
    </row>
    <row r="238" spans="1:5">
      <c r="A238" s="50"/>
      <c r="B238" s="2"/>
      <c r="C238" s="2"/>
      <c r="D238" s="2"/>
      <c r="E238" s="248"/>
    </row>
    <row r="239" spans="1:5">
      <c r="A239" s="50"/>
      <c r="B239" s="2"/>
      <c r="C239" s="2"/>
      <c r="D239" s="2"/>
      <c r="E239" s="248"/>
    </row>
    <row r="240" spans="1:5">
      <c r="A240" s="50"/>
      <c r="B240" s="2"/>
      <c r="C240" s="2"/>
      <c r="D240" s="2"/>
      <c r="E240" s="248"/>
    </row>
    <row r="241" spans="1:5">
      <c r="A241" s="50"/>
      <c r="B241" s="2"/>
      <c r="C241" s="2"/>
      <c r="D241" s="2"/>
      <c r="E241" s="248"/>
    </row>
    <row r="242" spans="1:5">
      <c r="A242" s="50"/>
      <c r="B242" s="2"/>
      <c r="C242" s="2"/>
      <c r="D242" s="2"/>
      <c r="E242" s="248"/>
    </row>
    <row r="243" spans="1:5">
      <c r="A243" s="50"/>
      <c r="B243" s="2"/>
      <c r="C243" s="2"/>
      <c r="D243" s="2"/>
      <c r="E243" s="248"/>
    </row>
    <row r="244" spans="1:5">
      <c r="A244" s="50"/>
      <c r="B244" s="2"/>
      <c r="C244" s="2"/>
      <c r="D244" s="2"/>
      <c r="E244" s="248"/>
    </row>
    <row r="245" spans="1:5">
      <c r="A245" s="50"/>
      <c r="B245" s="2"/>
      <c r="C245" s="2"/>
      <c r="D245" s="2"/>
      <c r="E245" s="248"/>
    </row>
    <row r="246" spans="1:5">
      <c r="A246" s="50"/>
      <c r="B246" s="2"/>
      <c r="C246" s="2"/>
      <c r="D246" s="2"/>
      <c r="E246" s="248"/>
    </row>
    <row r="247" spans="1:5">
      <c r="A247" s="50"/>
      <c r="B247" s="2"/>
      <c r="C247" s="2"/>
      <c r="D247" s="2"/>
      <c r="E247" s="248"/>
    </row>
    <row r="248" spans="1:5">
      <c r="A248" s="50"/>
      <c r="B248" s="2"/>
      <c r="C248" s="2"/>
      <c r="D248" s="2"/>
      <c r="E248" s="248"/>
    </row>
    <row r="249" spans="1:5">
      <c r="A249" s="50"/>
      <c r="B249" s="2"/>
      <c r="C249" s="2"/>
      <c r="D249" s="2"/>
      <c r="E249" s="248"/>
    </row>
    <row r="250" spans="1:5">
      <c r="A250" s="50"/>
      <c r="B250" s="2"/>
      <c r="C250" s="2"/>
      <c r="D250" s="2"/>
      <c r="E250" s="248"/>
    </row>
    <row r="251" spans="1:5">
      <c r="A251" s="50"/>
      <c r="B251" s="2"/>
      <c r="C251" s="2"/>
      <c r="D251" s="2"/>
      <c r="E251" s="248"/>
    </row>
    <row r="252" spans="1:5">
      <c r="A252" s="50"/>
      <c r="B252" s="2"/>
      <c r="C252" s="2"/>
      <c r="D252" s="2"/>
      <c r="E252" s="248"/>
    </row>
    <row r="253" spans="1:5">
      <c r="A253" s="50"/>
      <c r="B253" s="2"/>
      <c r="C253" s="2"/>
      <c r="D253" s="2"/>
      <c r="E253" s="248"/>
    </row>
    <row r="254" spans="1:5">
      <c r="A254" s="50"/>
      <c r="B254" s="2"/>
      <c r="C254" s="2"/>
      <c r="D254" s="2"/>
      <c r="E254" s="248"/>
    </row>
    <row r="255" spans="1:5">
      <c r="A255" s="50"/>
      <c r="B255" s="2"/>
      <c r="C255" s="2"/>
      <c r="D255" s="2"/>
      <c r="E255" s="248"/>
    </row>
    <row r="256" spans="1:5">
      <c r="A256" s="50"/>
      <c r="B256" s="2"/>
      <c r="C256" s="2"/>
      <c r="D256" s="2"/>
      <c r="E256" s="248"/>
    </row>
    <row r="257" spans="1:5">
      <c r="A257" s="50"/>
      <c r="B257" s="2"/>
      <c r="C257" s="2"/>
      <c r="D257" s="2"/>
      <c r="E257" s="248"/>
    </row>
    <row r="258" spans="1:5">
      <c r="A258" s="50"/>
      <c r="B258" s="2"/>
      <c r="C258" s="2"/>
      <c r="D258" s="2"/>
      <c r="E258" s="248"/>
    </row>
    <row r="259" spans="1:5">
      <c r="A259" s="50"/>
      <c r="B259" s="2"/>
      <c r="C259" s="2"/>
      <c r="D259" s="2"/>
      <c r="E259" s="248"/>
    </row>
    <row r="260" spans="1:5">
      <c r="A260" s="50"/>
      <c r="B260" s="2"/>
      <c r="C260" s="2"/>
      <c r="D260" s="2"/>
      <c r="E260" s="248"/>
    </row>
    <row r="261" spans="1:5">
      <c r="A261" s="50"/>
      <c r="B261" s="2"/>
      <c r="C261" s="2"/>
      <c r="D261" s="2"/>
      <c r="E261" s="248"/>
    </row>
    <row r="262" spans="1:5">
      <c r="A262" s="50"/>
      <c r="B262" s="2"/>
      <c r="C262" s="2"/>
      <c r="D262" s="2"/>
      <c r="E262" s="248"/>
    </row>
    <row r="263" spans="1:5">
      <c r="A263" s="50"/>
      <c r="B263" s="2"/>
      <c r="C263" s="2"/>
      <c r="D263" s="2"/>
      <c r="E263" s="248"/>
    </row>
    <row r="264" spans="1:5">
      <c r="A264" s="50"/>
      <c r="B264" s="2"/>
      <c r="C264" s="2"/>
      <c r="D264" s="2"/>
      <c r="E264" s="248"/>
    </row>
    <row r="265" spans="1:5">
      <c r="A265" s="50"/>
      <c r="B265" s="2"/>
      <c r="C265" s="2"/>
      <c r="D265" s="2"/>
      <c r="E265" s="248"/>
    </row>
    <row r="266" spans="1:5">
      <c r="A266" s="50"/>
      <c r="B266" s="2"/>
      <c r="C266" s="2"/>
      <c r="D266" s="2"/>
      <c r="E266" s="248"/>
    </row>
    <row r="267" spans="1:5">
      <c r="A267" s="50"/>
      <c r="B267" s="2"/>
      <c r="C267" s="2"/>
      <c r="D267" s="2"/>
      <c r="E267" s="248"/>
    </row>
    <row r="268" spans="1:5">
      <c r="A268" s="50"/>
      <c r="B268" s="2"/>
      <c r="C268" s="2"/>
      <c r="D268" s="2"/>
      <c r="E268" s="248"/>
    </row>
    <row r="269" spans="1:5">
      <c r="A269" s="50"/>
      <c r="B269" s="2"/>
      <c r="C269" s="2"/>
      <c r="D269" s="2"/>
      <c r="E269" s="248"/>
    </row>
    <row r="270" spans="1:5">
      <c r="A270" s="50"/>
      <c r="B270" s="2"/>
      <c r="C270" s="2"/>
      <c r="D270" s="2"/>
      <c r="E270" s="248"/>
    </row>
    <row r="271" spans="1:5">
      <c r="A271" s="50"/>
      <c r="B271" s="2"/>
      <c r="C271" s="2"/>
      <c r="D271" s="2"/>
      <c r="E271" s="248"/>
    </row>
    <row r="272" spans="1:5">
      <c r="A272" s="50"/>
      <c r="B272" s="2"/>
      <c r="C272" s="2"/>
      <c r="D272" s="2"/>
      <c r="E272" s="248"/>
    </row>
    <row r="273" spans="1:5">
      <c r="A273" s="50"/>
      <c r="B273" s="2"/>
      <c r="C273" s="2"/>
      <c r="D273" s="2"/>
      <c r="E273" s="248"/>
    </row>
    <row r="274" spans="1:5">
      <c r="A274" s="50"/>
      <c r="B274" s="2"/>
      <c r="C274" s="2"/>
      <c r="D274" s="2"/>
      <c r="E274" s="248"/>
    </row>
    <row r="275" spans="1:5">
      <c r="A275" s="50"/>
      <c r="B275" s="2"/>
      <c r="C275" s="2"/>
      <c r="D275" s="2"/>
      <c r="E275" s="248"/>
    </row>
    <row r="276" spans="1:5">
      <c r="A276" s="50"/>
      <c r="B276" s="2"/>
      <c r="C276" s="2"/>
      <c r="D276" s="2"/>
      <c r="E276" s="248"/>
    </row>
    <row r="277" spans="1:5">
      <c r="A277" s="50"/>
      <c r="B277" s="2"/>
      <c r="C277" s="2"/>
      <c r="D277" s="2"/>
      <c r="E277" s="248"/>
    </row>
    <row r="278" spans="1:5">
      <c r="A278" s="50"/>
      <c r="B278" s="2"/>
      <c r="C278" s="2"/>
      <c r="D278" s="2"/>
      <c r="E278" s="248"/>
    </row>
    <row r="279" spans="1:5">
      <c r="A279" s="50"/>
      <c r="B279" s="2"/>
      <c r="C279" s="2"/>
      <c r="D279" s="2"/>
      <c r="E279" s="248"/>
    </row>
    <row r="280" spans="1:5">
      <c r="A280" s="50"/>
      <c r="B280" s="2"/>
      <c r="C280" s="2"/>
      <c r="D280" s="2"/>
      <c r="E280" s="248"/>
    </row>
    <row r="281" spans="1:5">
      <c r="A281" s="50"/>
      <c r="B281" s="2"/>
      <c r="C281" s="2"/>
      <c r="D281" s="2"/>
      <c r="E281" s="248"/>
    </row>
    <row r="282" spans="1:5">
      <c r="A282" s="50"/>
      <c r="B282" s="2"/>
      <c r="C282" s="2"/>
      <c r="D282" s="2"/>
      <c r="E282" s="248"/>
    </row>
    <row r="283" spans="1:5">
      <c r="A283" s="50"/>
      <c r="B283" s="2"/>
      <c r="C283" s="2"/>
      <c r="D283" s="2"/>
      <c r="E283" s="248"/>
    </row>
    <row r="284" spans="1:5">
      <c r="A284" s="50"/>
      <c r="B284" s="2"/>
      <c r="C284" s="2"/>
      <c r="D284" s="2"/>
      <c r="E284" s="248"/>
    </row>
    <row r="285" spans="1:5">
      <c r="A285" s="50"/>
      <c r="B285" s="2"/>
      <c r="C285" s="2"/>
      <c r="D285" s="2"/>
      <c r="E285" s="248"/>
    </row>
    <row r="286" spans="1:5">
      <c r="A286" s="50"/>
      <c r="B286" s="2"/>
      <c r="C286" s="2"/>
      <c r="D286" s="2"/>
      <c r="E286" s="248"/>
    </row>
    <row r="287" spans="1:5">
      <c r="A287" s="50"/>
      <c r="B287" s="2"/>
      <c r="C287" s="2"/>
      <c r="D287" s="2"/>
      <c r="E287" s="248"/>
    </row>
    <row r="288" spans="1:5">
      <c r="A288" s="50"/>
      <c r="B288" s="2"/>
      <c r="C288" s="2"/>
      <c r="D288" s="2"/>
      <c r="E288" s="248"/>
    </row>
    <row r="289" spans="1:5">
      <c r="A289" s="50"/>
      <c r="B289" s="2"/>
      <c r="C289" s="2"/>
      <c r="D289" s="2"/>
      <c r="E289" s="248"/>
    </row>
    <row r="290" spans="1:5">
      <c r="A290" s="50"/>
      <c r="B290" s="2"/>
      <c r="C290" s="2"/>
      <c r="D290" s="2"/>
      <c r="E290" s="248"/>
    </row>
    <row r="291" spans="1:5">
      <c r="A291" s="50"/>
      <c r="B291" s="2"/>
      <c r="C291" s="2"/>
      <c r="D291" s="2"/>
      <c r="E291" s="248"/>
    </row>
    <row r="292" spans="1:5">
      <c r="A292" s="50"/>
      <c r="B292" s="2"/>
      <c r="C292" s="2"/>
      <c r="D292" s="2"/>
      <c r="E292" s="248"/>
    </row>
    <row r="293" spans="1:5">
      <c r="A293" s="50"/>
      <c r="B293" s="2"/>
      <c r="C293" s="2"/>
      <c r="D293" s="2"/>
      <c r="E293" s="248"/>
    </row>
    <row r="294" spans="1:5">
      <c r="A294" s="50"/>
      <c r="B294" s="2"/>
      <c r="C294" s="2"/>
      <c r="D294" s="2"/>
      <c r="E294" s="248"/>
    </row>
    <row r="295" spans="1:5">
      <c r="A295" s="50"/>
      <c r="B295" s="2"/>
      <c r="C295" s="2"/>
      <c r="D295" s="2"/>
      <c r="E295" s="248"/>
    </row>
    <row r="296" spans="1:5">
      <c r="A296" s="50"/>
      <c r="B296" s="2"/>
      <c r="C296" s="2"/>
      <c r="D296" s="2"/>
      <c r="E296" s="248"/>
    </row>
    <row r="297" spans="1:5">
      <c r="A297" s="50"/>
      <c r="B297" s="2"/>
      <c r="C297" s="2"/>
      <c r="D297" s="2"/>
      <c r="E297" s="248"/>
    </row>
    <row r="298" spans="1:5">
      <c r="A298" s="50"/>
      <c r="B298" s="2"/>
      <c r="C298" s="2"/>
      <c r="D298" s="2"/>
      <c r="E298" s="248"/>
    </row>
    <row r="299" spans="1:5">
      <c r="A299" s="50"/>
      <c r="B299" s="2"/>
      <c r="C299" s="2"/>
      <c r="D299" s="2"/>
      <c r="E299" s="248"/>
    </row>
    <row r="300" spans="1:5">
      <c r="A300" s="50"/>
      <c r="B300" s="2"/>
      <c r="C300" s="2"/>
      <c r="D300" s="2"/>
      <c r="E300" s="248"/>
    </row>
    <row r="301" spans="1:5">
      <c r="A301" s="50"/>
      <c r="B301" s="2"/>
      <c r="C301" s="2"/>
      <c r="D301" s="2"/>
      <c r="E301" s="248"/>
    </row>
    <row r="302" spans="1:5">
      <c r="A302" s="50"/>
      <c r="B302" s="2"/>
      <c r="C302" s="2"/>
      <c r="D302" s="2"/>
      <c r="E302" s="248"/>
    </row>
    <row r="303" spans="1:5">
      <c r="A303" s="50"/>
      <c r="B303" s="2"/>
      <c r="C303" s="2"/>
      <c r="D303" s="2"/>
      <c r="E303" s="248"/>
    </row>
    <row r="304" spans="1:5">
      <c r="A304" s="50"/>
      <c r="B304" s="2"/>
      <c r="C304" s="2"/>
      <c r="D304" s="2"/>
      <c r="E304" s="248"/>
    </row>
    <row r="305" spans="1:5">
      <c r="A305" s="50"/>
      <c r="B305" s="2"/>
      <c r="C305" s="2"/>
      <c r="D305" s="2"/>
      <c r="E305" s="248"/>
    </row>
    <row r="306" spans="1:5">
      <c r="A306" s="50"/>
      <c r="B306" s="2"/>
      <c r="C306" s="2"/>
      <c r="D306" s="2"/>
      <c r="E306" s="248"/>
    </row>
    <row r="307" spans="1:5">
      <c r="A307" s="50"/>
      <c r="B307" s="2"/>
      <c r="C307" s="2"/>
      <c r="D307" s="2"/>
      <c r="E307" s="248"/>
    </row>
    <row r="308" spans="1:5">
      <c r="A308" s="50"/>
      <c r="B308" s="2"/>
      <c r="C308" s="2"/>
      <c r="D308" s="2"/>
      <c r="E308" s="248"/>
    </row>
    <row r="309" spans="1:5">
      <c r="A309" s="50"/>
      <c r="B309" s="2"/>
      <c r="C309" s="2"/>
      <c r="D309" s="2"/>
      <c r="E309" s="248"/>
    </row>
    <row r="310" spans="1:5">
      <c r="A310" s="50"/>
      <c r="B310" s="2"/>
      <c r="C310" s="2"/>
      <c r="D310" s="2"/>
      <c r="E310" s="248"/>
    </row>
    <row r="311" spans="1:5">
      <c r="A311" s="50"/>
      <c r="B311" s="2"/>
      <c r="C311" s="2"/>
      <c r="D311" s="2"/>
      <c r="E311" s="248"/>
    </row>
    <row r="312" spans="1:5">
      <c r="A312" s="50"/>
      <c r="B312" s="2"/>
      <c r="C312" s="2"/>
      <c r="D312" s="2"/>
      <c r="E312" s="248"/>
    </row>
    <row r="313" spans="1:5">
      <c r="A313" s="50"/>
      <c r="B313" s="2"/>
      <c r="C313" s="2"/>
      <c r="D313" s="2"/>
      <c r="E313" s="248"/>
    </row>
    <row r="314" spans="1:5">
      <c r="A314" s="50"/>
      <c r="B314" s="2"/>
      <c r="C314" s="2"/>
      <c r="D314" s="2"/>
      <c r="E314" s="248"/>
    </row>
    <row r="315" spans="1:5">
      <c r="A315" s="50"/>
      <c r="B315" s="2"/>
      <c r="C315" s="2"/>
      <c r="D315" s="2"/>
      <c r="E315" s="248"/>
    </row>
    <row r="316" spans="1:5">
      <c r="A316" s="50"/>
      <c r="B316" s="2"/>
      <c r="C316" s="2"/>
      <c r="D316" s="2"/>
      <c r="E316" s="248"/>
    </row>
    <row r="317" spans="1:5">
      <c r="A317" s="50"/>
      <c r="B317" s="2"/>
      <c r="C317" s="2"/>
      <c r="D317" s="2"/>
      <c r="E317" s="248"/>
    </row>
    <row r="318" spans="1:5">
      <c r="A318" s="50"/>
      <c r="B318" s="2"/>
      <c r="C318" s="2"/>
      <c r="D318" s="2"/>
      <c r="E318" s="248"/>
    </row>
    <row r="319" spans="1:5">
      <c r="A319" s="50"/>
      <c r="B319" s="2"/>
      <c r="C319" s="2"/>
      <c r="D319" s="2"/>
      <c r="E319" s="248"/>
    </row>
    <row r="320" spans="1:5">
      <c r="A320" s="50"/>
      <c r="B320" s="2"/>
      <c r="C320" s="2"/>
      <c r="D320" s="2"/>
      <c r="E320" s="248"/>
    </row>
    <row r="321" spans="1:5">
      <c r="A321" s="50"/>
      <c r="B321" s="2"/>
      <c r="C321" s="2"/>
      <c r="D321" s="2"/>
      <c r="E321" s="248"/>
    </row>
    <row r="322" spans="1:5">
      <c r="A322" s="50"/>
      <c r="B322" s="2"/>
      <c r="C322" s="2"/>
      <c r="D322" s="2"/>
      <c r="E322" s="248"/>
    </row>
    <row r="323" spans="1:5">
      <c r="A323" s="50"/>
      <c r="B323" s="2"/>
      <c r="C323" s="2"/>
      <c r="D323" s="2"/>
      <c r="E323" s="248"/>
    </row>
    <row r="324" spans="1:5">
      <c r="A324" s="50"/>
      <c r="B324" s="2"/>
      <c r="C324" s="2"/>
      <c r="D324" s="2"/>
      <c r="E324" s="248"/>
    </row>
    <row r="325" spans="1:5">
      <c r="A325" s="50"/>
      <c r="B325" s="2"/>
      <c r="C325" s="2"/>
      <c r="D325" s="2"/>
      <c r="E325" s="248"/>
    </row>
    <row r="326" spans="1:5">
      <c r="A326" s="50"/>
      <c r="B326" s="2"/>
      <c r="C326" s="2"/>
      <c r="D326" s="2"/>
      <c r="E326" s="248"/>
    </row>
    <row r="327" spans="1:5">
      <c r="A327" s="50"/>
      <c r="B327" s="2"/>
      <c r="C327" s="2"/>
      <c r="D327" s="2"/>
      <c r="E327" s="248"/>
    </row>
    <row r="328" spans="1:5">
      <c r="A328" s="50"/>
      <c r="B328" s="2"/>
      <c r="C328" s="2"/>
      <c r="D328" s="2"/>
      <c r="E328" s="248"/>
    </row>
    <row r="329" spans="1:5">
      <c r="A329" s="50"/>
      <c r="B329" s="2"/>
      <c r="C329" s="2"/>
      <c r="D329" s="2"/>
      <c r="E329" s="248"/>
    </row>
    <row r="330" spans="1:5">
      <c r="A330" s="50"/>
      <c r="B330" s="2"/>
      <c r="C330" s="2"/>
      <c r="D330" s="2"/>
      <c r="E330" s="248"/>
    </row>
    <row r="331" spans="1:5">
      <c r="A331" s="50"/>
      <c r="B331" s="2"/>
      <c r="C331" s="2"/>
      <c r="D331" s="2"/>
      <c r="E331" s="248"/>
    </row>
    <row r="332" spans="1:5">
      <c r="A332" s="50"/>
      <c r="B332" s="2"/>
      <c r="C332" s="2"/>
      <c r="D332" s="2"/>
      <c r="E332" s="248"/>
    </row>
    <row r="333" spans="1:5">
      <c r="A333" s="50"/>
      <c r="B333" s="2"/>
      <c r="C333" s="2"/>
      <c r="D333" s="2"/>
      <c r="E333" s="248"/>
    </row>
    <row r="334" spans="1:5">
      <c r="A334" s="50"/>
      <c r="B334" s="2"/>
      <c r="C334" s="2"/>
      <c r="D334" s="2"/>
      <c r="E334" s="248"/>
    </row>
    <row r="335" spans="1:5">
      <c r="A335" s="50"/>
      <c r="B335" s="2"/>
      <c r="C335" s="2"/>
      <c r="D335" s="2"/>
      <c r="E335" s="248"/>
    </row>
  </sheetData>
  <sheetProtection formatCells="0" formatColumns="0" formatRows="0" insertColumns="0" insertRows="0" insertHyperlinks="0" deleteColumns="0" deleteRows="0" sort="0" autoFilter="0" pivotTables="0"/>
  <customSheetViews>
    <customSheetView guid="{4BF2F851-A775-4F33-8DA4-C59D9D94DA9D}" scale="70" showPageBreaks="1" printArea="1" view="pageBreakPreview" topLeftCell="A88">
      <selection activeCell="I99" sqref="I99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  <customSheetView guid="{43DCEB14-ADF8-4168-9283-6542A71D3CF7}" scale="90" showPageBreaks="1" printArea="1" view="pageBreakPreview" topLeftCell="A58">
      <selection activeCell="J15" sqref="J15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3"/>
      <headerFooter alignWithMargins="0"/>
    </customSheetView>
  </customSheetViews>
  <mergeCells count="16">
    <mergeCell ref="A1:J1"/>
    <mergeCell ref="C110:E110"/>
    <mergeCell ref="G110:I110"/>
    <mergeCell ref="J3:J4"/>
    <mergeCell ref="A6:J6"/>
    <mergeCell ref="A83:J83"/>
    <mergeCell ref="A89:J89"/>
    <mergeCell ref="B3:B4"/>
    <mergeCell ref="A3:A4"/>
    <mergeCell ref="C3:C4"/>
    <mergeCell ref="F3:I3"/>
    <mergeCell ref="A96:J96"/>
    <mergeCell ref="C109:E109"/>
    <mergeCell ref="G109:I109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4"/>
  <headerFooter alignWithMargins="0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J192"/>
  <sheetViews>
    <sheetView view="pageBreakPreview" zoomScale="75" zoomScaleNormal="65" zoomScaleSheetLayoutView="50" workbookViewId="0">
      <pane ySplit="5" topLeftCell="A30" activePane="bottomLeft" state="frozen"/>
      <selection pane="bottomLeft" activeCell="D20" sqref="D20:D21"/>
    </sheetView>
  </sheetViews>
  <sheetFormatPr defaultColWidth="77.85546875" defaultRowHeight="18.75" outlineLevelRow="1"/>
  <cols>
    <col min="1" max="1" width="61.28515625" style="45" customWidth="1"/>
    <col min="2" max="2" width="15.28515625" style="48" customWidth="1"/>
    <col min="3" max="3" width="13" style="48" customWidth="1"/>
    <col min="4" max="4" width="14.85546875" style="48" customWidth="1"/>
    <col min="5" max="5" width="13.42578125" style="48" customWidth="1"/>
    <col min="6" max="6" width="13.7109375" style="45" customWidth="1"/>
    <col min="7" max="7" width="13.28515625" style="45" customWidth="1"/>
    <col min="8" max="8" width="13" style="45" customWidth="1"/>
    <col min="9" max="9" width="11.7109375" style="45" customWidth="1"/>
    <col min="10" max="10" width="9.5703125" style="45" customWidth="1"/>
    <col min="11" max="253" width="9.140625" style="45" customWidth="1"/>
    <col min="254" max="16384" width="77.85546875" style="45"/>
  </cols>
  <sheetData>
    <row r="1" spans="1:9">
      <c r="A1" s="394" t="s">
        <v>367</v>
      </c>
      <c r="B1" s="394"/>
      <c r="C1" s="394"/>
      <c r="D1" s="394"/>
      <c r="E1" s="394"/>
      <c r="F1" s="394"/>
      <c r="G1" s="394"/>
      <c r="H1" s="394"/>
      <c r="I1" s="394"/>
    </row>
    <row r="2" spans="1:9" outlineLevel="1">
      <c r="A2" s="44"/>
      <c r="B2" s="53"/>
      <c r="C2" s="44"/>
      <c r="D2" s="44"/>
      <c r="E2" s="44"/>
      <c r="F2" s="44"/>
      <c r="G2" s="44"/>
      <c r="H2" s="44"/>
      <c r="I2" s="44"/>
    </row>
    <row r="3" spans="1:9" ht="38.25" customHeight="1">
      <c r="A3" s="382" t="s">
        <v>271</v>
      </c>
      <c r="B3" s="395" t="s">
        <v>18</v>
      </c>
      <c r="C3" s="396" t="s">
        <v>31</v>
      </c>
      <c r="D3" s="396" t="s">
        <v>39</v>
      </c>
      <c r="E3" s="397" t="s">
        <v>180</v>
      </c>
      <c r="F3" s="378" t="s">
        <v>363</v>
      </c>
      <c r="G3" s="378"/>
      <c r="H3" s="378"/>
      <c r="I3" s="378"/>
    </row>
    <row r="4" spans="1:9" ht="50.25" customHeight="1">
      <c r="A4" s="382"/>
      <c r="B4" s="395"/>
      <c r="C4" s="396"/>
      <c r="D4" s="396"/>
      <c r="E4" s="397"/>
      <c r="F4" s="13" t="s">
        <v>364</v>
      </c>
      <c r="G4" s="13" t="s">
        <v>365</v>
      </c>
      <c r="H4" s="13" t="s">
        <v>366</v>
      </c>
      <c r="I4" s="13" t="s">
        <v>86</v>
      </c>
    </row>
    <row r="5" spans="1:9" ht="18" customHeight="1">
      <c r="A5" s="51">
        <v>1</v>
      </c>
      <c r="B5" s="52">
        <v>2</v>
      </c>
      <c r="C5" s="52">
        <v>3</v>
      </c>
      <c r="D5" s="52">
        <v>4</v>
      </c>
      <c r="E5" s="52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389" t="s">
        <v>164</v>
      </c>
      <c r="B6" s="390"/>
      <c r="C6" s="390"/>
      <c r="D6" s="390"/>
      <c r="E6" s="390"/>
      <c r="F6" s="390"/>
      <c r="G6" s="390"/>
      <c r="H6" s="390"/>
      <c r="I6" s="391"/>
    </row>
    <row r="7" spans="1:9" ht="42.75" customHeight="1">
      <c r="A7" s="58" t="s">
        <v>62</v>
      </c>
      <c r="B7" s="7">
        <v>2000</v>
      </c>
      <c r="C7" s="224">
        <v>492</v>
      </c>
      <c r="D7" s="224">
        <v>505</v>
      </c>
      <c r="E7" s="224">
        <v>529</v>
      </c>
      <c r="F7" s="231">
        <f>$E$17</f>
        <v>560</v>
      </c>
      <c r="G7" s="231">
        <f t="shared" ref="G7:I7" si="0">$E$17</f>
        <v>560</v>
      </c>
      <c r="H7" s="231">
        <f t="shared" si="0"/>
        <v>560</v>
      </c>
      <c r="I7" s="231">
        <f t="shared" si="0"/>
        <v>560</v>
      </c>
    </row>
    <row r="8" spans="1:9" ht="37.5">
      <c r="A8" s="46" t="s">
        <v>221</v>
      </c>
      <c r="B8" s="7">
        <v>2010</v>
      </c>
      <c r="C8" s="169">
        <f>C9+C10</f>
        <v>0</v>
      </c>
      <c r="D8" s="169">
        <f>D9+D10</f>
        <v>30</v>
      </c>
      <c r="E8" s="169">
        <f t="shared" ref="E8:I8" si="1">E9+E10</f>
        <v>14</v>
      </c>
      <c r="F8" s="169">
        <f t="shared" si="1"/>
        <v>3</v>
      </c>
      <c r="G8" s="169">
        <f t="shared" si="1"/>
        <v>13</v>
      </c>
      <c r="H8" s="169">
        <f t="shared" si="1"/>
        <v>21</v>
      </c>
      <c r="I8" s="169">
        <f t="shared" si="1"/>
        <v>23</v>
      </c>
    </row>
    <row r="9" spans="1:9" ht="42.75" customHeight="1">
      <c r="A9" s="8" t="s">
        <v>369</v>
      </c>
      <c r="B9" s="7">
        <v>2011</v>
      </c>
      <c r="C9" s="224"/>
      <c r="D9" s="224">
        <v>7</v>
      </c>
      <c r="E9" s="224">
        <f>ROUND('I. Фін результат'!E79*15%,0)</f>
        <v>3</v>
      </c>
      <c r="F9" s="224">
        <f>ROUND('I. Фін результат'!F79*15%,0)</f>
        <v>1</v>
      </c>
      <c r="G9" s="224">
        <f>ROUND('I. Фін результат'!G79*15%,0)</f>
        <v>3</v>
      </c>
      <c r="H9" s="224">
        <f>ROUND('I. Фін результат'!H79*15%,0)</f>
        <v>5</v>
      </c>
      <c r="I9" s="224">
        <f>ROUND('I. Фін результат'!I79*15%,0)</f>
        <v>5</v>
      </c>
    </row>
    <row r="10" spans="1:9" ht="93.75">
      <c r="A10" s="8" t="s">
        <v>370</v>
      </c>
      <c r="B10" s="7">
        <v>2012</v>
      </c>
      <c r="C10" s="224"/>
      <c r="D10" s="224">
        <v>23</v>
      </c>
      <c r="E10" s="224">
        <f>ROUND(('I. Фін результат'!E79-'ІІ. Розр. з бюджетом'!E9)*60%,0)</f>
        <v>11</v>
      </c>
      <c r="F10" s="224">
        <f>ROUND(('I. Фін результат'!F79-'ІІ. Розр. з бюджетом'!F9)*60%,0)</f>
        <v>2</v>
      </c>
      <c r="G10" s="224">
        <f>ROUND(('I. Фін результат'!G79-'ІІ. Розр. з бюджетом'!G9)*60%,0)</f>
        <v>10</v>
      </c>
      <c r="H10" s="224">
        <f>ROUND(('I. Фін результат'!H79-'ІІ. Розр. з бюджетом'!H9)*60%,0)</f>
        <v>16</v>
      </c>
      <c r="I10" s="224">
        <f>ROUND(('I. Фін результат'!I79-'ІІ. Розр. з бюджетом'!I9)*60%,0)</f>
        <v>18</v>
      </c>
    </row>
    <row r="11" spans="1:9" ht="20.100000000000001" customHeight="1">
      <c r="A11" s="8" t="s">
        <v>207</v>
      </c>
      <c r="B11" s="7">
        <v>2020</v>
      </c>
      <c r="C11" s="168"/>
      <c r="D11" s="168"/>
      <c r="E11" s="168"/>
      <c r="F11" s="168"/>
      <c r="G11" s="168"/>
      <c r="H11" s="168"/>
      <c r="I11" s="168"/>
    </row>
    <row r="12" spans="1:9" s="47" customFormat="1" ht="20.100000000000001" customHeight="1">
      <c r="A12" s="46" t="s">
        <v>75</v>
      </c>
      <c r="B12" s="7">
        <v>2030</v>
      </c>
      <c r="C12" s="168"/>
      <c r="D12" s="168"/>
      <c r="E12" s="168"/>
      <c r="F12" s="168"/>
      <c r="G12" s="168"/>
      <c r="H12" s="168"/>
      <c r="I12" s="168"/>
    </row>
    <row r="13" spans="1:9" ht="37.5">
      <c r="A13" s="46" t="s">
        <v>387</v>
      </c>
      <c r="B13" s="7">
        <v>2031</v>
      </c>
      <c r="C13" s="168"/>
      <c r="D13" s="168"/>
      <c r="E13" s="168"/>
      <c r="F13" s="168"/>
      <c r="G13" s="168"/>
      <c r="H13" s="168"/>
      <c r="I13" s="168"/>
    </row>
    <row r="14" spans="1:9" ht="20.100000000000001" customHeight="1">
      <c r="A14" s="46" t="s">
        <v>26</v>
      </c>
      <c r="B14" s="7">
        <v>2040</v>
      </c>
      <c r="C14" s="168"/>
      <c r="D14" s="168"/>
      <c r="E14" s="168">
        <v>-23</v>
      </c>
      <c r="F14" s="168"/>
      <c r="G14" s="168"/>
      <c r="H14" s="168"/>
      <c r="I14" s="168"/>
    </row>
    <row r="15" spans="1:9" ht="20.100000000000001" customHeight="1">
      <c r="A15" s="163" t="s">
        <v>127</v>
      </c>
      <c r="B15" s="7">
        <v>2050</v>
      </c>
      <c r="C15" s="168"/>
      <c r="D15" s="168"/>
      <c r="E15" s="168"/>
      <c r="F15" s="168"/>
      <c r="G15" s="168"/>
      <c r="H15" s="168"/>
      <c r="I15" s="168"/>
    </row>
    <row r="16" spans="1:9" ht="20.100000000000001" customHeight="1">
      <c r="A16" s="163" t="s">
        <v>128</v>
      </c>
      <c r="B16" s="7">
        <v>2060</v>
      </c>
      <c r="C16" s="168"/>
      <c r="D16" s="168"/>
      <c r="E16" s="168"/>
      <c r="F16" s="168"/>
      <c r="G16" s="168"/>
      <c r="H16" s="168"/>
      <c r="I16" s="168"/>
    </row>
    <row r="17" spans="1:9" ht="42.75" customHeight="1">
      <c r="A17" s="58" t="s">
        <v>63</v>
      </c>
      <c r="B17" s="92">
        <v>2070</v>
      </c>
      <c r="C17" s="170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529</v>
      </c>
      <c r="D17" s="170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520</v>
      </c>
      <c r="E17" s="170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560</v>
      </c>
      <c r="F17" s="170">
        <f>'I. Фін результат'!F79+'ІІ.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562</v>
      </c>
      <c r="G17" s="170">
        <f>'I. Фін результат'!G79+'ІІ.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567</v>
      </c>
      <c r="H17" s="170">
        <f>'I. Фін результат'!H79+'ІІ.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571</v>
      </c>
      <c r="I17" s="170">
        <f>'I. Фін результат'!I79+'ІІ.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572</v>
      </c>
    </row>
    <row r="18" spans="1:9" ht="39.75" customHeight="1">
      <c r="A18" s="389" t="s">
        <v>165</v>
      </c>
      <c r="B18" s="390"/>
      <c r="C18" s="390"/>
      <c r="D18" s="390"/>
      <c r="E18" s="390"/>
      <c r="F18" s="390"/>
      <c r="G18" s="390"/>
      <c r="H18" s="390"/>
      <c r="I18" s="391"/>
    </row>
    <row r="19" spans="1:9" ht="37.5">
      <c r="A19" s="163" t="s">
        <v>221</v>
      </c>
      <c r="B19" s="162">
        <v>2100</v>
      </c>
      <c r="C19" s="169">
        <f t="shared" ref="C19:I19" si="2">SUM(C20:C21)</f>
        <v>0</v>
      </c>
      <c r="D19" s="169">
        <f t="shared" si="2"/>
        <v>30</v>
      </c>
      <c r="E19" s="169">
        <f>SUM(E20:E21)</f>
        <v>14</v>
      </c>
      <c r="F19" s="169">
        <f t="shared" si="2"/>
        <v>3</v>
      </c>
      <c r="G19" s="169">
        <f t="shared" si="2"/>
        <v>13</v>
      </c>
      <c r="H19" s="169">
        <f t="shared" si="2"/>
        <v>21</v>
      </c>
      <c r="I19" s="169">
        <f t="shared" si="2"/>
        <v>23</v>
      </c>
    </row>
    <row r="20" spans="1:9" ht="42.75" customHeight="1">
      <c r="A20" s="230" t="s">
        <v>369</v>
      </c>
      <c r="B20" s="162">
        <v>2101</v>
      </c>
      <c r="C20" s="169">
        <f t="shared" ref="C20" si="3">C9</f>
        <v>0</v>
      </c>
      <c r="D20" s="169">
        <f>D9</f>
        <v>7</v>
      </c>
      <c r="E20" s="169">
        <f>E9</f>
        <v>3</v>
      </c>
      <c r="F20" s="169">
        <f t="shared" ref="F20:I20" si="4">F9</f>
        <v>1</v>
      </c>
      <c r="G20" s="169">
        <f t="shared" si="4"/>
        <v>3</v>
      </c>
      <c r="H20" s="169">
        <f t="shared" si="4"/>
        <v>5</v>
      </c>
      <c r="I20" s="169">
        <f t="shared" si="4"/>
        <v>5</v>
      </c>
    </row>
    <row r="21" spans="1:9" ht="93.75">
      <c r="A21" s="230" t="s">
        <v>370</v>
      </c>
      <c r="B21" s="162">
        <v>2102</v>
      </c>
      <c r="C21" s="169">
        <f>C10</f>
        <v>0</v>
      </c>
      <c r="D21" s="169">
        <f>D10</f>
        <v>23</v>
      </c>
      <c r="E21" s="169">
        <f>E10</f>
        <v>11</v>
      </c>
      <c r="F21" s="169">
        <f t="shared" ref="F21:I21" si="5">F10</f>
        <v>2</v>
      </c>
      <c r="G21" s="169">
        <f t="shared" si="5"/>
        <v>10</v>
      </c>
      <c r="H21" s="169">
        <f t="shared" si="5"/>
        <v>16</v>
      </c>
      <c r="I21" s="169">
        <f t="shared" si="5"/>
        <v>18</v>
      </c>
    </row>
    <row r="22" spans="1:9" s="47" customFormat="1" ht="20.100000000000001" customHeight="1">
      <c r="A22" s="163" t="s">
        <v>167</v>
      </c>
      <c r="B22" s="164">
        <v>2110</v>
      </c>
      <c r="C22" s="169">
        <f>'I. Фін результат'!C77</f>
        <v>8</v>
      </c>
      <c r="D22" s="169">
        <f>'I. Фін результат'!D77</f>
        <v>10</v>
      </c>
      <c r="E22" s="169">
        <f>'I. Фін результат'!E77</f>
        <v>10</v>
      </c>
      <c r="F22" s="169">
        <f>'I. Фін результат'!F77</f>
        <v>0</v>
      </c>
      <c r="G22" s="169">
        <f>'I. Фін результат'!G77</f>
        <v>0</v>
      </c>
      <c r="H22" s="169">
        <f>'I. Фін результат'!H77</f>
        <v>0</v>
      </c>
      <c r="I22" s="169">
        <f>'I. Фін результат'!I77</f>
        <v>8</v>
      </c>
    </row>
    <row r="23" spans="1:9" ht="56.25">
      <c r="A23" s="163" t="s">
        <v>334</v>
      </c>
      <c r="B23" s="164">
        <v>2120</v>
      </c>
      <c r="C23" s="168"/>
      <c r="D23" s="168">
        <v>171</v>
      </c>
      <c r="E23" s="168">
        <v>18</v>
      </c>
      <c r="F23" s="224"/>
      <c r="G23" s="224"/>
      <c r="H23" s="224">
        <v>26</v>
      </c>
      <c r="I23" s="224">
        <v>54</v>
      </c>
    </row>
    <row r="24" spans="1:9" ht="56.25">
      <c r="A24" s="163" t="s">
        <v>335</v>
      </c>
      <c r="B24" s="164">
        <v>2130</v>
      </c>
      <c r="C24" s="168">
        <v>-79</v>
      </c>
      <c r="D24" s="168"/>
      <c r="E24" s="168"/>
      <c r="F24" s="168">
        <v>-92</v>
      </c>
      <c r="G24" s="168">
        <v>-32</v>
      </c>
      <c r="H24" s="168"/>
      <c r="I24" s="168"/>
    </row>
    <row r="25" spans="1:9" s="49" customFormat="1" ht="56.25">
      <c r="A25" s="165" t="s">
        <v>258</v>
      </c>
      <c r="B25" s="166">
        <v>2140</v>
      </c>
      <c r="C25" s="170">
        <f t="shared" ref="C25:I25" si="6">SUM(C26:C30,C33,C35)</f>
        <v>890</v>
      </c>
      <c r="D25" s="170">
        <f t="shared" si="6"/>
        <v>964</v>
      </c>
      <c r="E25" s="170">
        <f>SUM(E26:E30,E33,E35)</f>
        <v>959</v>
      </c>
      <c r="F25" s="170">
        <f t="shared" si="6"/>
        <v>224</v>
      </c>
      <c r="G25" s="170">
        <f t="shared" si="6"/>
        <v>447</v>
      </c>
      <c r="H25" s="170">
        <f t="shared" si="6"/>
        <v>672</v>
      </c>
      <c r="I25" s="170">
        <f t="shared" si="6"/>
        <v>895</v>
      </c>
    </row>
    <row r="26" spans="1:9" ht="20.100000000000001" customHeight="1">
      <c r="A26" s="163" t="s">
        <v>91</v>
      </c>
      <c r="B26" s="164">
        <v>2141</v>
      </c>
      <c r="C26" s="168"/>
      <c r="D26" s="168"/>
      <c r="E26" s="168"/>
      <c r="F26" s="168"/>
      <c r="G26" s="168"/>
      <c r="H26" s="168"/>
      <c r="I26" s="168"/>
    </row>
    <row r="27" spans="1:9" ht="20.100000000000001" customHeight="1">
      <c r="A27" s="163" t="s">
        <v>118</v>
      </c>
      <c r="B27" s="164">
        <v>2142</v>
      </c>
      <c r="C27" s="168"/>
      <c r="D27" s="168"/>
      <c r="E27" s="168"/>
      <c r="F27" s="168"/>
      <c r="G27" s="168"/>
      <c r="H27" s="168"/>
      <c r="I27" s="168"/>
    </row>
    <row r="28" spans="1:9" ht="20.100000000000001" customHeight="1">
      <c r="A28" s="163" t="s">
        <v>109</v>
      </c>
      <c r="B28" s="164">
        <v>2143</v>
      </c>
      <c r="C28" s="168"/>
      <c r="D28" s="168"/>
      <c r="E28" s="168"/>
      <c r="F28" s="168"/>
      <c r="G28" s="168"/>
      <c r="H28" s="168"/>
      <c r="I28" s="168"/>
    </row>
    <row r="29" spans="1:9" ht="20.100000000000001" customHeight="1">
      <c r="A29" s="163" t="s">
        <v>89</v>
      </c>
      <c r="B29" s="164">
        <v>2144</v>
      </c>
      <c r="C29" s="168">
        <v>813</v>
      </c>
      <c r="D29" s="168">
        <v>882</v>
      </c>
      <c r="E29" s="226">
        <v>882</v>
      </c>
      <c r="F29" s="226">
        <f>ROUND('I. Фін результат'!F100*18%,0)</f>
        <v>207</v>
      </c>
      <c r="G29" s="226">
        <f>ROUND('I. Фін результат'!G100*18%,0)</f>
        <v>413</v>
      </c>
      <c r="H29" s="226">
        <f>ROUND('I. Фін результат'!H100*18%,0)</f>
        <v>620</v>
      </c>
      <c r="I29" s="226">
        <f>ROUND('I. Фін результат'!I100*18%,0)</f>
        <v>826</v>
      </c>
    </row>
    <row r="30" spans="1:9" s="47" customFormat="1" ht="20.100000000000001" customHeight="1">
      <c r="A30" s="163" t="s">
        <v>187</v>
      </c>
      <c r="B30" s="164">
        <v>2145</v>
      </c>
      <c r="C30" s="168"/>
      <c r="D30" s="171"/>
      <c r="E30" s="171"/>
      <c r="F30" s="168"/>
      <c r="G30" s="168"/>
      <c r="H30" s="168"/>
      <c r="I30" s="168"/>
    </row>
    <row r="31" spans="1:9" ht="56.25">
      <c r="A31" s="163" t="s">
        <v>267</v>
      </c>
      <c r="B31" s="164" t="s">
        <v>236</v>
      </c>
      <c r="C31" s="168"/>
      <c r="D31" s="171"/>
      <c r="E31" s="171"/>
      <c r="F31" s="168"/>
      <c r="G31" s="168"/>
      <c r="H31" s="168"/>
      <c r="I31" s="168"/>
    </row>
    <row r="32" spans="1:9" ht="20.100000000000001" customHeight="1">
      <c r="A32" s="163" t="s">
        <v>27</v>
      </c>
      <c r="B32" s="164" t="s">
        <v>237</v>
      </c>
      <c r="C32" s="168"/>
      <c r="D32" s="168"/>
      <c r="E32" s="168"/>
      <c r="F32" s="168"/>
      <c r="G32" s="168"/>
      <c r="H32" s="168"/>
      <c r="I32" s="168"/>
    </row>
    <row r="33" spans="1:10" s="47" customFormat="1" ht="20.100000000000001" customHeight="1">
      <c r="A33" s="163" t="s">
        <v>129</v>
      </c>
      <c r="B33" s="164">
        <v>2146</v>
      </c>
      <c r="C33" s="168">
        <v>9</v>
      </c>
      <c r="D33" s="168">
        <v>9</v>
      </c>
      <c r="E33" s="168">
        <v>4</v>
      </c>
      <c r="F33" s="168"/>
      <c r="G33" s="168"/>
      <c r="H33" s="168"/>
      <c r="I33" s="168"/>
    </row>
    <row r="34" spans="1:10" s="47" customFormat="1" ht="20.100000000000001" customHeight="1">
      <c r="A34" s="163" t="s">
        <v>409</v>
      </c>
      <c r="B34" s="164" t="s">
        <v>410</v>
      </c>
      <c r="C34" s="168">
        <v>9</v>
      </c>
      <c r="D34" s="168">
        <v>9</v>
      </c>
      <c r="E34" s="168">
        <v>4</v>
      </c>
      <c r="F34" s="168"/>
      <c r="G34" s="168"/>
      <c r="H34" s="168"/>
      <c r="I34" s="168"/>
    </row>
    <row r="35" spans="1:10" ht="20.100000000000001" customHeight="1">
      <c r="A35" s="163" t="s">
        <v>97</v>
      </c>
      <c r="B35" s="164">
        <v>2147</v>
      </c>
      <c r="C35" s="168">
        <f t="shared" ref="C35:I35" si="7">C36</f>
        <v>68</v>
      </c>
      <c r="D35" s="168">
        <v>73</v>
      </c>
      <c r="E35" s="168">
        <v>73</v>
      </c>
      <c r="F35" s="168">
        <f t="shared" si="7"/>
        <v>17</v>
      </c>
      <c r="G35" s="168">
        <f t="shared" si="7"/>
        <v>34</v>
      </c>
      <c r="H35" s="168">
        <f>H36</f>
        <v>52</v>
      </c>
      <c r="I35" s="168">
        <f t="shared" si="7"/>
        <v>69</v>
      </c>
    </row>
    <row r="36" spans="1:10" ht="20.100000000000001" customHeight="1">
      <c r="A36" s="163" t="s">
        <v>380</v>
      </c>
      <c r="B36" s="164" t="s">
        <v>530</v>
      </c>
      <c r="C36" s="168">
        <v>68</v>
      </c>
      <c r="D36" s="168">
        <v>73</v>
      </c>
      <c r="E36" s="167">
        <v>73</v>
      </c>
      <c r="F36" s="167">
        <f>ROUND('I. Фін результат'!F100*1.5%,0)</f>
        <v>17</v>
      </c>
      <c r="G36" s="167">
        <f>ROUND('I. Фін результат'!G100*1.5%,0)</f>
        <v>34</v>
      </c>
      <c r="H36" s="167">
        <f>ROUND('I. Фін результат'!H100*1.5%,0)</f>
        <v>52</v>
      </c>
      <c r="I36" s="167">
        <f>ROUND('I. Фін результат'!I100*1.5%,0)</f>
        <v>69</v>
      </c>
    </row>
    <row r="37" spans="1:10" s="47" customFormat="1" ht="37.5">
      <c r="A37" s="163" t="s">
        <v>90</v>
      </c>
      <c r="B37" s="164">
        <v>2150</v>
      </c>
      <c r="C37" s="168">
        <f>'I. Фін результат'!C101</f>
        <v>934</v>
      </c>
      <c r="D37" s="168">
        <v>1011</v>
      </c>
      <c r="E37" s="168">
        <f>'I. Фін результат'!E101</f>
        <v>1011</v>
      </c>
      <c r="F37" s="168">
        <f>'I. Фін результат'!F101</f>
        <v>234</v>
      </c>
      <c r="G37" s="168">
        <f>'I. Фін результат'!G101</f>
        <v>467</v>
      </c>
      <c r="H37" s="168">
        <f>'I. Фін результат'!H101</f>
        <v>702</v>
      </c>
      <c r="I37" s="168">
        <f>'I. Фін результат'!I101</f>
        <v>936</v>
      </c>
    </row>
    <row r="38" spans="1:10" s="47" customFormat="1" ht="20.100000000000001" customHeight="1">
      <c r="A38" s="165" t="s">
        <v>360</v>
      </c>
      <c r="B38" s="166">
        <v>2200</v>
      </c>
      <c r="C38" s="170">
        <f>SUM(C19,C22:C24,C25,C37)</f>
        <v>1753</v>
      </c>
      <c r="D38" s="170">
        <f t="shared" ref="D38:I38" si="8">SUM(D19,D22:D24,D25,D37)</f>
        <v>2186</v>
      </c>
      <c r="E38" s="170">
        <f t="shared" si="8"/>
        <v>2012</v>
      </c>
      <c r="F38" s="170">
        <f t="shared" si="8"/>
        <v>369</v>
      </c>
      <c r="G38" s="170">
        <f t="shared" si="8"/>
        <v>895</v>
      </c>
      <c r="H38" s="170">
        <f t="shared" si="8"/>
        <v>1421</v>
      </c>
      <c r="I38" s="170">
        <f t="shared" si="8"/>
        <v>1916</v>
      </c>
    </row>
    <row r="39" spans="1:10" s="47" customFormat="1" ht="20.100000000000001" customHeight="1">
      <c r="A39" s="143"/>
      <c r="B39" s="144"/>
      <c r="C39" s="145"/>
      <c r="D39" s="146"/>
      <c r="E39" s="146"/>
      <c r="F39" s="146"/>
      <c r="G39" s="146"/>
      <c r="H39" s="146"/>
      <c r="I39" s="146"/>
    </row>
    <row r="40" spans="1:10" s="47" customFormat="1" ht="20.100000000000001" customHeight="1">
      <c r="A40" s="143"/>
      <c r="B40" s="144"/>
      <c r="C40" s="145"/>
      <c r="D40" s="146"/>
      <c r="E40" s="146"/>
      <c r="F40" s="146"/>
      <c r="G40" s="146"/>
      <c r="H40" s="146"/>
      <c r="I40" s="146"/>
    </row>
    <row r="41" spans="1:10" s="2" customFormat="1" ht="20.100000000000001" customHeight="1">
      <c r="A41" s="173" t="s">
        <v>400</v>
      </c>
      <c r="B41" s="132"/>
      <c r="C41" s="392" t="s">
        <v>119</v>
      </c>
      <c r="D41" s="393"/>
      <c r="E41" s="393"/>
      <c r="F41" s="133"/>
      <c r="G41" s="386" t="s">
        <v>399</v>
      </c>
      <c r="H41" s="386"/>
      <c r="I41" s="386"/>
    </row>
    <row r="42" spans="1:10" s="1" customFormat="1" ht="20.100000000000001" customHeight="1">
      <c r="A42" s="95" t="s">
        <v>379</v>
      </c>
      <c r="B42" s="108"/>
      <c r="C42" s="376" t="s">
        <v>84</v>
      </c>
      <c r="D42" s="376"/>
      <c r="E42" s="376"/>
      <c r="F42" s="134"/>
      <c r="G42" s="377" t="s">
        <v>437</v>
      </c>
      <c r="H42" s="377"/>
      <c r="I42" s="377"/>
    </row>
    <row r="43" spans="1:10" s="48" customFormat="1">
      <c r="A43" s="61"/>
      <c r="F43" s="45"/>
      <c r="G43" s="45"/>
      <c r="H43" s="45"/>
      <c r="I43" s="45"/>
      <c r="J43" s="45"/>
    </row>
    <row r="44" spans="1:10" s="48" customFormat="1">
      <c r="A44" s="61"/>
      <c r="F44" s="45"/>
      <c r="G44" s="45"/>
      <c r="H44" s="45"/>
      <c r="I44" s="45"/>
      <c r="J44" s="45"/>
    </row>
    <row r="45" spans="1:10" s="48" customFormat="1">
      <c r="A45" s="61"/>
      <c r="E45" s="244"/>
      <c r="F45" s="217"/>
      <c r="G45" s="217"/>
      <c r="H45" s="217"/>
      <c r="I45" s="217"/>
      <c r="J45" s="45"/>
    </row>
    <row r="46" spans="1:10" s="48" customFormat="1">
      <c r="A46" s="61"/>
      <c r="E46" s="244"/>
      <c r="F46" s="219"/>
      <c r="G46" s="219"/>
      <c r="H46" s="219"/>
      <c r="I46" s="219"/>
      <c r="J46" s="45"/>
    </row>
    <row r="47" spans="1:10" s="48" customFormat="1">
      <c r="A47" s="61"/>
      <c r="E47" s="245"/>
      <c r="F47" s="218"/>
      <c r="G47" s="218"/>
      <c r="H47" s="218"/>
      <c r="I47" s="218"/>
      <c r="J47" s="45"/>
    </row>
    <row r="48" spans="1:10" s="48" customFormat="1">
      <c r="A48" s="61"/>
      <c r="E48" s="245"/>
      <c r="F48" s="218"/>
      <c r="G48" s="218"/>
      <c r="H48" s="218"/>
      <c r="I48" s="218"/>
      <c r="J48" s="45"/>
    </row>
    <row r="49" spans="1:10" s="48" customFormat="1">
      <c r="A49" s="61"/>
      <c r="F49" s="45"/>
      <c r="G49" s="45"/>
      <c r="H49" s="45"/>
      <c r="I49" s="45"/>
      <c r="J49" s="45"/>
    </row>
    <row r="50" spans="1:10" s="48" customFormat="1">
      <c r="A50" s="61"/>
      <c r="F50" s="45"/>
      <c r="G50" s="45"/>
      <c r="H50" s="45"/>
      <c r="I50" s="45"/>
      <c r="J50" s="45"/>
    </row>
    <row r="51" spans="1:10" s="48" customFormat="1">
      <c r="A51" s="61"/>
      <c r="F51" s="45"/>
      <c r="G51" s="45"/>
      <c r="H51" s="45"/>
      <c r="I51" s="45"/>
      <c r="J51" s="45"/>
    </row>
    <row r="52" spans="1:10" s="48" customFormat="1">
      <c r="A52" s="61"/>
      <c r="F52" s="45"/>
      <c r="G52" s="45"/>
      <c r="H52" s="45"/>
      <c r="I52" s="45"/>
      <c r="J52" s="45"/>
    </row>
    <row r="53" spans="1:10" s="48" customFormat="1">
      <c r="A53" s="61"/>
      <c r="F53" s="45"/>
      <c r="G53" s="45"/>
      <c r="H53" s="45"/>
      <c r="I53" s="45"/>
      <c r="J53" s="45"/>
    </row>
    <row r="54" spans="1:10" s="48" customFormat="1">
      <c r="A54" s="61"/>
      <c r="F54" s="45"/>
      <c r="G54" s="45"/>
      <c r="H54" s="45"/>
      <c r="I54" s="45"/>
      <c r="J54" s="45"/>
    </row>
    <row r="55" spans="1:10" s="48" customFormat="1">
      <c r="A55" s="61"/>
      <c r="F55" s="45"/>
      <c r="G55" s="45"/>
      <c r="H55" s="45"/>
      <c r="I55" s="45"/>
      <c r="J55" s="45"/>
    </row>
    <row r="56" spans="1:10" s="48" customFormat="1">
      <c r="A56" s="61"/>
      <c r="F56" s="45"/>
      <c r="G56" s="45"/>
      <c r="H56" s="45"/>
      <c r="I56" s="45"/>
      <c r="J56" s="45"/>
    </row>
    <row r="57" spans="1:10" s="48" customFormat="1">
      <c r="A57" s="61"/>
      <c r="F57" s="45"/>
      <c r="G57" s="45"/>
      <c r="H57" s="45"/>
      <c r="I57" s="45"/>
      <c r="J57" s="45"/>
    </row>
    <row r="58" spans="1:10" s="48" customFormat="1">
      <c r="A58" s="61"/>
      <c r="F58" s="45"/>
      <c r="G58" s="45"/>
      <c r="H58" s="45"/>
      <c r="I58" s="45"/>
      <c r="J58" s="45"/>
    </row>
    <row r="59" spans="1:10" s="48" customFormat="1">
      <c r="A59" s="61"/>
      <c r="F59" s="45"/>
      <c r="G59" s="45"/>
      <c r="H59" s="45"/>
      <c r="I59" s="45"/>
      <c r="J59" s="45"/>
    </row>
    <row r="60" spans="1:10" s="48" customFormat="1">
      <c r="A60" s="61"/>
      <c r="F60" s="45"/>
      <c r="G60" s="45"/>
      <c r="H60" s="45"/>
      <c r="I60" s="45"/>
      <c r="J60" s="45"/>
    </row>
    <row r="61" spans="1:10" s="48" customFormat="1">
      <c r="A61" s="61"/>
      <c r="F61" s="45"/>
      <c r="G61" s="45"/>
      <c r="H61" s="45"/>
      <c r="I61" s="45"/>
      <c r="J61" s="45"/>
    </row>
    <row r="62" spans="1:10" s="48" customFormat="1">
      <c r="A62" s="61"/>
      <c r="F62" s="45"/>
      <c r="G62" s="45"/>
      <c r="H62" s="45"/>
      <c r="I62" s="45"/>
      <c r="J62" s="45"/>
    </row>
    <row r="63" spans="1:10" s="48" customFormat="1">
      <c r="A63" s="61"/>
      <c r="F63" s="45"/>
      <c r="G63" s="45"/>
      <c r="H63" s="45"/>
      <c r="I63" s="45"/>
      <c r="J63" s="45"/>
    </row>
    <row r="64" spans="1:10" s="48" customFormat="1">
      <c r="A64" s="61"/>
      <c r="F64" s="45"/>
      <c r="G64" s="45"/>
      <c r="H64" s="45"/>
      <c r="I64" s="45"/>
      <c r="J64" s="45"/>
    </row>
    <row r="65" spans="1:10" s="48" customFormat="1">
      <c r="A65" s="61"/>
      <c r="F65" s="45"/>
      <c r="G65" s="45"/>
      <c r="H65" s="45"/>
      <c r="I65" s="45"/>
      <c r="J65" s="45"/>
    </row>
    <row r="66" spans="1:10" s="48" customFormat="1">
      <c r="A66" s="61"/>
      <c r="F66" s="45"/>
      <c r="G66" s="45"/>
      <c r="H66" s="45"/>
      <c r="I66" s="45"/>
      <c r="J66" s="45"/>
    </row>
    <row r="67" spans="1:10" s="48" customFormat="1">
      <c r="A67" s="61"/>
      <c r="F67" s="45"/>
      <c r="G67" s="45"/>
      <c r="H67" s="45"/>
      <c r="I67" s="45"/>
      <c r="J67" s="45"/>
    </row>
    <row r="68" spans="1:10" s="48" customFormat="1">
      <c r="A68" s="61"/>
      <c r="F68" s="45"/>
      <c r="G68" s="45"/>
      <c r="H68" s="45"/>
      <c r="I68" s="45"/>
      <c r="J68" s="45"/>
    </row>
    <row r="69" spans="1:10" s="48" customFormat="1">
      <c r="A69" s="61"/>
      <c r="F69" s="45"/>
      <c r="G69" s="45"/>
      <c r="H69" s="45"/>
      <c r="I69" s="45"/>
      <c r="J69" s="45"/>
    </row>
    <row r="70" spans="1:10" s="48" customFormat="1">
      <c r="A70" s="61"/>
      <c r="F70" s="45"/>
      <c r="G70" s="45"/>
      <c r="H70" s="45"/>
      <c r="I70" s="45"/>
      <c r="J70" s="45"/>
    </row>
    <row r="71" spans="1:10" s="48" customFormat="1">
      <c r="A71" s="61"/>
      <c r="F71" s="45"/>
      <c r="G71" s="45"/>
      <c r="H71" s="45"/>
      <c r="I71" s="45"/>
      <c r="J71" s="45"/>
    </row>
    <row r="72" spans="1:10" s="48" customFormat="1">
      <c r="A72" s="61"/>
      <c r="F72" s="45"/>
      <c r="G72" s="45"/>
      <c r="H72" s="45"/>
      <c r="I72" s="45"/>
      <c r="J72" s="45"/>
    </row>
    <row r="73" spans="1:10" s="48" customFormat="1">
      <c r="A73" s="61"/>
      <c r="F73" s="45"/>
      <c r="G73" s="45"/>
      <c r="H73" s="45"/>
      <c r="I73" s="45"/>
      <c r="J73" s="45"/>
    </row>
    <row r="74" spans="1:10" s="48" customFormat="1">
      <c r="A74" s="61"/>
      <c r="F74" s="45"/>
      <c r="G74" s="45"/>
      <c r="H74" s="45"/>
      <c r="I74" s="45"/>
      <c r="J74" s="45"/>
    </row>
    <row r="75" spans="1:10" s="48" customFormat="1">
      <c r="A75" s="61"/>
      <c r="F75" s="45"/>
      <c r="G75" s="45"/>
      <c r="H75" s="45"/>
      <c r="I75" s="45"/>
      <c r="J75" s="45"/>
    </row>
    <row r="76" spans="1:10" s="48" customFormat="1">
      <c r="A76" s="61"/>
      <c r="F76" s="45"/>
      <c r="G76" s="45"/>
      <c r="H76" s="45"/>
      <c r="I76" s="45"/>
      <c r="J76" s="45"/>
    </row>
    <row r="77" spans="1:10" s="48" customFormat="1">
      <c r="A77" s="61"/>
      <c r="F77" s="45"/>
      <c r="G77" s="45"/>
      <c r="H77" s="45"/>
      <c r="I77" s="45"/>
      <c r="J77" s="45"/>
    </row>
    <row r="78" spans="1:10" s="48" customFormat="1">
      <c r="A78" s="61"/>
      <c r="F78" s="45"/>
      <c r="G78" s="45"/>
      <c r="H78" s="45"/>
      <c r="I78" s="45"/>
      <c r="J78" s="45"/>
    </row>
    <row r="79" spans="1:10" s="48" customFormat="1">
      <c r="A79" s="61"/>
      <c r="F79" s="45"/>
      <c r="G79" s="45"/>
      <c r="H79" s="45"/>
      <c r="I79" s="45"/>
      <c r="J79" s="45"/>
    </row>
    <row r="80" spans="1:10" s="48" customFormat="1">
      <c r="A80" s="61"/>
      <c r="F80" s="45"/>
      <c r="G80" s="45"/>
      <c r="H80" s="45"/>
      <c r="I80" s="45"/>
      <c r="J80" s="45"/>
    </row>
    <row r="81" spans="1:10" s="48" customFormat="1">
      <c r="A81" s="61"/>
      <c r="F81" s="45"/>
      <c r="G81" s="45"/>
      <c r="H81" s="45"/>
      <c r="I81" s="45"/>
      <c r="J81" s="45"/>
    </row>
    <row r="82" spans="1:10" s="48" customFormat="1">
      <c r="A82" s="61"/>
      <c r="F82" s="45"/>
      <c r="G82" s="45"/>
      <c r="H82" s="45"/>
      <c r="I82" s="45"/>
      <c r="J82" s="45"/>
    </row>
    <row r="83" spans="1:10" s="48" customFormat="1">
      <c r="A83" s="61"/>
      <c r="F83" s="45"/>
      <c r="G83" s="45"/>
      <c r="H83" s="45"/>
      <c r="I83" s="45"/>
      <c r="J83" s="45"/>
    </row>
    <row r="84" spans="1:10" s="48" customFormat="1">
      <c r="A84" s="61"/>
      <c r="F84" s="45"/>
      <c r="G84" s="45"/>
      <c r="H84" s="45"/>
      <c r="I84" s="45"/>
      <c r="J84" s="45"/>
    </row>
    <row r="85" spans="1:10" s="48" customFormat="1">
      <c r="A85" s="61"/>
      <c r="F85" s="45"/>
      <c r="G85" s="45"/>
      <c r="H85" s="45"/>
      <c r="I85" s="45"/>
      <c r="J85" s="45"/>
    </row>
    <row r="86" spans="1:10" s="48" customFormat="1">
      <c r="A86" s="61"/>
      <c r="F86" s="45"/>
      <c r="G86" s="45"/>
      <c r="H86" s="45"/>
      <c r="I86" s="45"/>
      <c r="J86" s="45"/>
    </row>
    <row r="87" spans="1:10" s="48" customFormat="1">
      <c r="A87" s="61"/>
      <c r="F87" s="45"/>
      <c r="G87" s="45"/>
      <c r="H87" s="45"/>
      <c r="I87" s="45"/>
      <c r="J87" s="45"/>
    </row>
    <row r="88" spans="1:10" s="48" customFormat="1">
      <c r="A88" s="61"/>
      <c r="F88" s="45"/>
      <c r="G88" s="45"/>
      <c r="H88" s="45"/>
      <c r="I88" s="45"/>
      <c r="J88" s="45"/>
    </row>
    <row r="89" spans="1:10" s="48" customFormat="1">
      <c r="A89" s="61"/>
      <c r="F89" s="45"/>
      <c r="G89" s="45"/>
      <c r="H89" s="45"/>
      <c r="I89" s="45"/>
      <c r="J89" s="45"/>
    </row>
    <row r="90" spans="1:10" s="48" customFormat="1">
      <c r="A90" s="61"/>
      <c r="F90" s="45"/>
      <c r="G90" s="45"/>
      <c r="H90" s="45"/>
      <c r="I90" s="45"/>
      <c r="J90" s="45"/>
    </row>
    <row r="91" spans="1:10" s="48" customFormat="1">
      <c r="A91" s="61"/>
      <c r="F91" s="45"/>
      <c r="G91" s="45"/>
      <c r="H91" s="45"/>
      <c r="I91" s="45"/>
      <c r="J91" s="45"/>
    </row>
    <row r="92" spans="1:10" s="48" customFormat="1">
      <c r="A92" s="61"/>
      <c r="F92" s="45"/>
      <c r="G92" s="45"/>
      <c r="H92" s="45"/>
      <c r="I92" s="45"/>
      <c r="J92" s="45"/>
    </row>
    <row r="93" spans="1:10" s="48" customFormat="1">
      <c r="A93" s="61"/>
      <c r="F93" s="45"/>
      <c r="G93" s="45"/>
      <c r="H93" s="45"/>
      <c r="I93" s="45"/>
      <c r="J93" s="45"/>
    </row>
    <row r="94" spans="1:10" s="48" customFormat="1">
      <c r="A94" s="61"/>
      <c r="F94" s="45"/>
      <c r="G94" s="45"/>
      <c r="H94" s="45"/>
      <c r="I94" s="45"/>
      <c r="J94" s="45"/>
    </row>
    <row r="95" spans="1:10" s="48" customFormat="1">
      <c r="A95" s="61"/>
      <c r="F95" s="45"/>
      <c r="G95" s="45"/>
      <c r="H95" s="45"/>
      <c r="I95" s="45"/>
      <c r="J95" s="45"/>
    </row>
    <row r="96" spans="1:10" s="48" customFormat="1">
      <c r="A96" s="61"/>
      <c r="F96" s="45"/>
      <c r="G96" s="45"/>
      <c r="H96" s="45"/>
      <c r="I96" s="45"/>
      <c r="J96" s="45"/>
    </row>
    <row r="97" spans="1:10" s="48" customFormat="1">
      <c r="A97" s="61"/>
      <c r="F97" s="45"/>
      <c r="G97" s="45"/>
      <c r="H97" s="45"/>
      <c r="I97" s="45"/>
      <c r="J97" s="45"/>
    </row>
    <row r="98" spans="1:10" s="48" customFormat="1">
      <c r="A98" s="61"/>
      <c r="F98" s="45"/>
      <c r="G98" s="45"/>
      <c r="H98" s="45"/>
      <c r="I98" s="45"/>
      <c r="J98" s="45"/>
    </row>
    <row r="99" spans="1:10" s="48" customFormat="1">
      <c r="A99" s="61"/>
      <c r="F99" s="45"/>
      <c r="G99" s="45"/>
      <c r="H99" s="45"/>
      <c r="I99" s="45"/>
      <c r="J99" s="45"/>
    </row>
    <row r="100" spans="1:10" s="48" customFormat="1">
      <c r="A100" s="61"/>
      <c r="F100" s="45"/>
      <c r="G100" s="45"/>
      <c r="H100" s="45"/>
      <c r="I100" s="45"/>
      <c r="J100" s="45"/>
    </row>
    <row r="101" spans="1:10" s="48" customFormat="1">
      <c r="A101" s="61"/>
      <c r="F101" s="45"/>
      <c r="G101" s="45"/>
      <c r="H101" s="45"/>
      <c r="I101" s="45"/>
      <c r="J101" s="45"/>
    </row>
    <row r="102" spans="1:10" s="48" customFormat="1">
      <c r="A102" s="61"/>
      <c r="F102" s="45"/>
      <c r="G102" s="45"/>
      <c r="H102" s="45"/>
      <c r="I102" s="45"/>
      <c r="J102" s="45"/>
    </row>
    <row r="103" spans="1:10" s="48" customFormat="1">
      <c r="A103" s="61"/>
      <c r="F103" s="45"/>
      <c r="G103" s="45"/>
      <c r="H103" s="45"/>
      <c r="I103" s="45"/>
      <c r="J103" s="45"/>
    </row>
    <row r="104" spans="1:10" s="48" customFormat="1">
      <c r="A104" s="61"/>
      <c r="F104" s="45"/>
      <c r="G104" s="45"/>
      <c r="H104" s="45"/>
      <c r="I104" s="45"/>
      <c r="J104" s="45"/>
    </row>
    <row r="105" spans="1:10" s="48" customFormat="1">
      <c r="A105" s="61"/>
      <c r="F105" s="45"/>
      <c r="G105" s="45"/>
      <c r="H105" s="45"/>
      <c r="I105" s="45"/>
      <c r="J105" s="45"/>
    </row>
    <row r="106" spans="1:10" s="48" customFormat="1">
      <c r="A106" s="61"/>
      <c r="F106" s="45"/>
      <c r="G106" s="45"/>
      <c r="H106" s="45"/>
      <c r="I106" s="45"/>
      <c r="J106" s="45"/>
    </row>
    <row r="107" spans="1:10" s="48" customFormat="1">
      <c r="A107" s="61"/>
      <c r="F107" s="45"/>
      <c r="G107" s="45"/>
      <c r="H107" s="45"/>
      <c r="I107" s="45"/>
      <c r="J107" s="45"/>
    </row>
    <row r="108" spans="1:10" s="48" customFormat="1">
      <c r="A108" s="61"/>
      <c r="F108" s="45"/>
      <c r="G108" s="45"/>
      <c r="H108" s="45"/>
      <c r="I108" s="45"/>
      <c r="J108" s="45"/>
    </row>
    <row r="109" spans="1:10" s="48" customFormat="1">
      <c r="A109" s="61"/>
      <c r="F109" s="45"/>
      <c r="G109" s="45"/>
      <c r="H109" s="45"/>
      <c r="I109" s="45"/>
      <c r="J109" s="45"/>
    </row>
    <row r="110" spans="1:10" s="48" customFormat="1">
      <c r="A110" s="61"/>
      <c r="F110" s="45"/>
      <c r="G110" s="45"/>
      <c r="H110" s="45"/>
      <c r="I110" s="45"/>
      <c r="J110" s="45"/>
    </row>
    <row r="111" spans="1:10" s="48" customFormat="1">
      <c r="A111" s="61"/>
      <c r="F111" s="45"/>
      <c r="G111" s="45"/>
      <c r="H111" s="45"/>
      <c r="I111" s="45"/>
      <c r="J111" s="45"/>
    </row>
    <row r="112" spans="1:10" s="48" customFormat="1">
      <c r="A112" s="61"/>
      <c r="F112" s="45"/>
      <c r="G112" s="45"/>
      <c r="H112" s="45"/>
      <c r="I112" s="45"/>
      <c r="J112" s="45"/>
    </row>
    <row r="113" spans="1:10" s="48" customFormat="1">
      <c r="A113" s="61"/>
      <c r="F113" s="45"/>
      <c r="G113" s="45"/>
      <c r="H113" s="45"/>
      <c r="I113" s="45"/>
      <c r="J113" s="45"/>
    </row>
    <row r="114" spans="1:10" s="48" customFormat="1">
      <c r="A114" s="61"/>
      <c r="F114" s="45"/>
      <c r="G114" s="45"/>
      <c r="H114" s="45"/>
      <c r="I114" s="45"/>
      <c r="J114" s="45"/>
    </row>
    <row r="115" spans="1:10" s="48" customFormat="1">
      <c r="A115" s="61"/>
      <c r="F115" s="45"/>
      <c r="G115" s="45"/>
      <c r="H115" s="45"/>
      <c r="I115" s="45"/>
      <c r="J115" s="45"/>
    </row>
    <row r="116" spans="1:10" s="48" customFormat="1">
      <c r="A116" s="61"/>
      <c r="F116" s="45"/>
      <c r="G116" s="45"/>
      <c r="H116" s="45"/>
      <c r="I116" s="45"/>
      <c r="J116" s="45"/>
    </row>
    <row r="117" spans="1:10" s="48" customFormat="1">
      <c r="A117" s="61"/>
      <c r="F117" s="45"/>
      <c r="G117" s="45"/>
      <c r="H117" s="45"/>
      <c r="I117" s="45"/>
      <c r="J117" s="45"/>
    </row>
    <row r="118" spans="1:10" s="48" customFormat="1">
      <c r="A118" s="61"/>
      <c r="F118" s="45"/>
      <c r="G118" s="45"/>
      <c r="H118" s="45"/>
      <c r="I118" s="45"/>
      <c r="J118" s="45"/>
    </row>
    <row r="119" spans="1:10" s="48" customFormat="1">
      <c r="A119" s="61"/>
      <c r="F119" s="45"/>
      <c r="G119" s="45"/>
      <c r="H119" s="45"/>
      <c r="I119" s="45"/>
      <c r="J119" s="45"/>
    </row>
    <row r="120" spans="1:10" s="48" customFormat="1">
      <c r="A120" s="61"/>
      <c r="F120" s="45"/>
      <c r="G120" s="45"/>
      <c r="H120" s="45"/>
      <c r="I120" s="45"/>
      <c r="J120" s="45"/>
    </row>
    <row r="121" spans="1:10" s="48" customFormat="1">
      <c r="A121" s="61"/>
      <c r="F121" s="45"/>
      <c r="G121" s="45"/>
      <c r="H121" s="45"/>
      <c r="I121" s="45"/>
      <c r="J121" s="45"/>
    </row>
    <row r="122" spans="1:10" s="48" customFormat="1">
      <c r="A122" s="61"/>
      <c r="F122" s="45"/>
      <c r="G122" s="45"/>
      <c r="H122" s="45"/>
      <c r="I122" s="45"/>
      <c r="J122" s="45"/>
    </row>
    <row r="123" spans="1:10" s="48" customFormat="1">
      <c r="A123" s="61"/>
      <c r="F123" s="45"/>
      <c r="G123" s="45"/>
      <c r="H123" s="45"/>
      <c r="I123" s="45"/>
      <c r="J123" s="45"/>
    </row>
    <row r="124" spans="1:10" s="48" customFormat="1">
      <c r="A124" s="61"/>
      <c r="F124" s="45"/>
      <c r="G124" s="45"/>
      <c r="H124" s="45"/>
      <c r="I124" s="45"/>
      <c r="J124" s="45"/>
    </row>
    <row r="125" spans="1:10" s="48" customFormat="1">
      <c r="A125" s="61"/>
      <c r="F125" s="45"/>
      <c r="G125" s="45"/>
      <c r="H125" s="45"/>
      <c r="I125" s="45"/>
      <c r="J125" s="45"/>
    </row>
    <row r="126" spans="1:10" s="48" customFormat="1">
      <c r="A126" s="61"/>
      <c r="F126" s="45"/>
      <c r="G126" s="45"/>
      <c r="H126" s="45"/>
      <c r="I126" s="45"/>
      <c r="J126" s="45"/>
    </row>
    <row r="127" spans="1:10" s="48" customFormat="1">
      <c r="A127" s="61"/>
      <c r="F127" s="45"/>
      <c r="G127" s="45"/>
      <c r="H127" s="45"/>
      <c r="I127" s="45"/>
      <c r="J127" s="45"/>
    </row>
    <row r="128" spans="1:10" s="48" customFormat="1">
      <c r="A128" s="61"/>
      <c r="F128" s="45"/>
      <c r="G128" s="45"/>
      <c r="H128" s="45"/>
      <c r="I128" s="45"/>
      <c r="J128" s="45"/>
    </row>
    <row r="129" spans="1:10" s="48" customFormat="1">
      <c r="A129" s="61"/>
      <c r="F129" s="45"/>
      <c r="G129" s="45"/>
      <c r="H129" s="45"/>
      <c r="I129" s="45"/>
      <c r="J129" s="45"/>
    </row>
    <row r="130" spans="1:10" s="48" customFormat="1">
      <c r="A130" s="61"/>
      <c r="F130" s="45"/>
      <c r="G130" s="45"/>
      <c r="H130" s="45"/>
      <c r="I130" s="45"/>
      <c r="J130" s="45"/>
    </row>
    <row r="131" spans="1:10" s="48" customFormat="1">
      <c r="A131" s="61"/>
      <c r="F131" s="45"/>
      <c r="G131" s="45"/>
      <c r="H131" s="45"/>
      <c r="I131" s="45"/>
      <c r="J131" s="45"/>
    </row>
    <row r="132" spans="1:10" s="48" customFormat="1">
      <c r="A132" s="61"/>
      <c r="F132" s="45"/>
      <c r="G132" s="45"/>
      <c r="H132" s="45"/>
      <c r="I132" s="45"/>
      <c r="J132" s="45"/>
    </row>
    <row r="133" spans="1:10" s="48" customFormat="1">
      <c r="A133" s="61"/>
      <c r="F133" s="45"/>
      <c r="G133" s="45"/>
      <c r="H133" s="45"/>
      <c r="I133" s="45"/>
      <c r="J133" s="45"/>
    </row>
    <row r="134" spans="1:10" s="48" customFormat="1">
      <c r="A134" s="61"/>
      <c r="F134" s="45"/>
      <c r="G134" s="45"/>
      <c r="H134" s="45"/>
      <c r="I134" s="45"/>
      <c r="J134" s="45"/>
    </row>
    <row r="135" spans="1:10" s="48" customFormat="1">
      <c r="A135" s="61"/>
      <c r="F135" s="45"/>
      <c r="G135" s="45"/>
      <c r="H135" s="45"/>
      <c r="I135" s="45"/>
      <c r="J135" s="45"/>
    </row>
    <row r="136" spans="1:10" s="48" customFormat="1">
      <c r="A136" s="61"/>
      <c r="F136" s="45"/>
      <c r="G136" s="45"/>
      <c r="H136" s="45"/>
      <c r="I136" s="45"/>
      <c r="J136" s="45"/>
    </row>
    <row r="137" spans="1:10" s="48" customFormat="1">
      <c r="A137" s="61"/>
      <c r="F137" s="45"/>
      <c r="G137" s="45"/>
      <c r="H137" s="45"/>
      <c r="I137" s="45"/>
      <c r="J137" s="45"/>
    </row>
    <row r="138" spans="1:10" s="48" customFormat="1">
      <c r="A138" s="61"/>
      <c r="F138" s="45"/>
      <c r="G138" s="45"/>
      <c r="H138" s="45"/>
      <c r="I138" s="45"/>
      <c r="J138" s="45"/>
    </row>
    <row r="139" spans="1:10" s="48" customFormat="1">
      <c r="A139" s="61"/>
      <c r="F139" s="45"/>
      <c r="G139" s="45"/>
      <c r="H139" s="45"/>
      <c r="I139" s="45"/>
      <c r="J139" s="45"/>
    </row>
    <row r="140" spans="1:10" s="48" customFormat="1">
      <c r="A140" s="61"/>
      <c r="F140" s="45"/>
      <c r="G140" s="45"/>
      <c r="H140" s="45"/>
      <c r="I140" s="45"/>
      <c r="J140" s="45"/>
    </row>
    <row r="141" spans="1:10" s="48" customFormat="1">
      <c r="A141" s="61"/>
      <c r="F141" s="45"/>
      <c r="G141" s="45"/>
      <c r="H141" s="45"/>
      <c r="I141" s="45"/>
      <c r="J141" s="45"/>
    </row>
    <row r="142" spans="1:10" s="48" customFormat="1">
      <c r="A142" s="61"/>
      <c r="F142" s="45"/>
      <c r="G142" s="45"/>
      <c r="H142" s="45"/>
      <c r="I142" s="45"/>
      <c r="J142" s="45"/>
    </row>
    <row r="143" spans="1:10" s="48" customFormat="1">
      <c r="A143" s="61"/>
      <c r="F143" s="45"/>
      <c r="G143" s="45"/>
      <c r="H143" s="45"/>
      <c r="I143" s="45"/>
      <c r="J143" s="45"/>
    </row>
    <row r="144" spans="1:10" s="48" customFormat="1">
      <c r="A144" s="61"/>
      <c r="F144" s="45"/>
      <c r="G144" s="45"/>
      <c r="H144" s="45"/>
      <c r="I144" s="45"/>
      <c r="J144" s="45"/>
    </row>
    <row r="145" spans="1:10" s="48" customFormat="1">
      <c r="A145" s="61"/>
      <c r="F145" s="45"/>
      <c r="G145" s="45"/>
      <c r="H145" s="45"/>
      <c r="I145" s="45"/>
      <c r="J145" s="45"/>
    </row>
    <row r="146" spans="1:10" s="48" customFormat="1">
      <c r="A146" s="61"/>
      <c r="F146" s="45"/>
      <c r="G146" s="45"/>
      <c r="H146" s="45"/>
      <c r="I146" s="45"/>
      <c r="J146" s="45"/>
    </row>
    <row r="147" spans="1:10" s="48" customFormat="1">
      <c r="A147" s="61"/>
      <c r="F147" s="45"/>
      <c r="G147" s="45"/>
      <c r="H147" s="45"/>
      <c r="I147" s="45"/>
      <c r="J147" s="45"/>
    </row>
    <row r="148" spans="1:10" s="48" customFormat="1">
      <c r="A148" s="61"/>
      <c r="F148" s="45"/>
      <c r="G148" s="45"/>
      <c r="H148" s="45"/>
      <c r="I148" s="45"/>
      <c r="J148" s="45"/>
    </row>
    <row r="149" spans="1:10" s="48" customFormat="1">
      <c r="A149" s="61"/>
      <c r="F149" s="45"/>
      <c r="G149" s="45"/>
      <c r="H149" s="45"/>
      <c r="I149" s="45"/>
      <c r="J149" s="45"/>
    </row>
    <row r="150" spans="1:10" s="48" customFormat="1">
      <c r="A150" s="61"/>
      <c r="F150" s="45"/>
      <c r="G150" s="45"/>
      <c r="H150" s="45"/>
      <c r="I150" s="45"/>
      <c r="J150" s="45"/>
    </row>
    <row r="151" spans="1:10" s="48" customFormat="1">
      <c r="A151" s="61"/>
      <c r="F151" s="45"/>
      <c r="G151" s="45"/>
      <c r="H151" s="45"/>
      <c r="I151" s="45"/>
      <c r="J151" s="45"/>
    </row>
    <row r="152" spans="1:10" s="48" customFormat="1">
      <c r="A152" s="61"/>
      <c r="F152" s="45"/>
      <c r="G152" s="45"/>
      <c r="H152" s="45"/>
      <c r="I152" s="45"/>
      <c r="J152" s="45"/>
    </row>
    <row r="153" spans="1:10" s="48" customFormat="1">
      <c r="A153" s="61"/>
      <c r="F153" s="45"/>
      <c r="G153" s="45"/>
      <c r="H153" s="45"/>
      <c r="I153" s="45"/>
      <c r="J153" s="45"/>
    </row>
    <row r="154" spans="1:10" s="48" customFormat="1">
      <c r="A154" s="61"/>
      <c r="F154" s="45"/>
      <c r="G154" s="45"/>
      <c r="H154" s="45"/>
      <c r="I154" s="45"/>
      <c r="J154" s="45"/>
    </row>
    <row r="155" spans="1:10" s="48" customFormat="1">
      <c r="A155" s="61"/>
      <c r="F155" s="45"/>
      <c r="G155" s="45"/>
      <c r="H155" s="45"/>
      <c r="I155" s="45"/>
      <c r="J155" s="45"/>
    </row>
    <row r="156" spans="1:10" s="48" customFormat="1">
      <c r="A156" s="61"/>
      <c r="F156" s="45"/>
      <c r="G156" s="45"/>
      <c r="H156" s="45"/>
      <c r="I156" s="45"/>
      <c r="J156" s="45"/>
    </row>
    <row r="157" spans="1:10" s="48" customFormat="1">
      <c r="A157" s="61"/>
      <c r="F157" s="45"/>
      <c r="G157" s="45"/>
      <c r="H157" s="45"/>
      <c r="I157" s="45"/>
      <c r="J157" s="45"/>
    </row>
    <row r="158" spans="1:10" s="48" customFormat="1">
      <c r="A158" s="61"/>
      <c r="F158" s="45"/>
      <c r="G158" s="45"/>
      <c r="H158" s="45"/>
      <c r="I158" s="45"/>
      <c r="J158" s="45"/>
    </row>
    <row r="159" spans="1:10" s="48" customFormat="1">
      <c r="A159" s="61"/>
      <c r="F159" s="45"/>
      <c r="G159" s="45"/>
      <c r="H159" s="45"/>
      <c r="I159" s="45"/>
      <c r="J159" s="45"/>
    </row>
    <row r="160" spans="1:10" s="48" customFormat="1">
      <c r="A160" s="61"/>
      <c r="F160" s="45"/>
      <c r="G160" s="45"/>
      <c r="H160" s="45"/>
      <c r="I160" s="45"/>
      <c r="J160" s="45"/>
    </row>
    <row r="161" spans="1:10" s="48" customFormat="1">
      <c r="A161" s="61"/>
      <c r="F161" s="45"/>
      <c r="G161" s="45"/>
      <c r="H161" s="45"/>
      <c r="I161" s="45"/>
      <c r="J161" s="45"/>
    </row>
    <row r="162" spans="1:10" s="48" customFormat="1">
      <c r="A162" s="61"/>
      <c r="F162" s="45"/>
      <c r="G162" s="45"/>
      <c r="H162" s="45"/>
      <c r="I162" s="45"/>
      <c r="J162" s="45"/>
    </row>
    <row r="163" spans="1:10" s="48" customFormat="1">
      <c r="A163" s="61"/>
      <c r="F163" s="45"/>
      <c r="G163" s="45"/>
      <c r="H163" s="45"/>
      <c r="I163" s="45"/>
      <c r="J163" s="45"/>
    </row>
    <row r="164" spans="1:10" s="48" customFormat="1">
      <c r="A164" s="61"/>
      <c r="F164" s="45"/>
      <c r="G164" s="45"/>
      <c r="H164" s="45"/>
      <c r="I164" s="45"/>
      <c r="J164" s="45"/>
    </row>
    <row r="165" spans="1:10" s="48" customFormat="1">
      <c r="A165" s="61"/>
      <c r="F165" s="45"/>
      <c r="G165" s="45"/>
      <c r="H165" s="45"/>
      <c r="I165" s="45"/>
      <c r="J165" s="45"/>
    </row>
    <row r="166" spans="1:10" s="48" customFormat="1">
      <c r="A166" s="61"/>
      <c r="F166" s="45"/>
      <c r="G166" s="45"/>
      <c r="H166" s="45"/>
      <c r="I166" s="45"/>
      <c r="J166" s="45"/>
    </row>
    <row r="167" spans="1:10" s="48" customFormat="1">
      <c r="A167" s="61"/>
      <c r="F167" s="45"/>
      <c r="G167" s="45"/>
      <c r="H167" s="45"/>
      <c r="I167" s="45"/>
      <c r="J167" s="45"/>
    </row>
    <row r="168" spans="1:10" s="48" customFormat="1">
      <c r="A168" s="61"/>
      <c r="F168" s="45"/>
      <c r="G168" s="45"/>
      <c r="H168" s="45"/>
      <c r="I168" s="45"/>
      <c r="J168" s="45"/>
    </row>
    <row r="169" spans="1:10" s="48" customFormat="1">
      <c r="A169" s="61"/>
      <c r="F169" s="45"/>
      <c r="G169" s="45"/>
      <c r="H169" s="45"/>
      <c r="I169" s="45"/>
      <c r="J169" s="45"/>
    </row>
    <row r="170" spans="1:10" s="48" customFormat="1">
      <c r="A170" s="61"/>
      <c r="F170" s="45"/>
      <c r="G170" s="45"/>
      <c r="H170" s="45"/>
      <c r="I170" s="45"/>
      <c r="J170" s="45"/>
    </row>
    <row r="171" spans="1:10" s="48" customFormat="1">
      <c r="A171" s="61"/>
      <c r="F171" s="45"/>
      <c r="G171" s="45"/>
      <c r="H171" s="45"/>
      <c r="I171" s="45"/>
      <c r="J171" s="45"/>
    </row>
    <row r="172" spans="1:10" s="48" customFormat="1">
      <c r="A172" s="61"/>
      <c r="F172" s="45"/>
      <c r="G172" s="45"/>
      <c r="H172" s="45"/>
      <c r="I172" s="45"/>
      <c r="J172" s="45"/>
    </row>
    <row r="173" spans="1:10" s="48" customFormat="1">
      <c r="A173" s="61"/>
      <c r="F173" s="45"/>
      <c r="G173" s="45"/>
      <c r="H173" s="45"/>
      <c r="I173" s="45"/>
      <c r="J173" s="45"/>
    </row>
    <row r="174" spans="1:10" s="48" customFormat="1">
      <c r="A174" s="61"/>
      <c r="F174" s="45"/>
      <c r="G174" s="45"/>
      <c r="H174" s="45"/>
      <c r="I174" s="45"/>
      <c r="J174" s="45"/>
    </row>
    <row r="175" spans="1:10" s="48" customFormat="1">
      <c r="A175" s="61"/>
      <c r="F175" s="45"/>
      <c r="G175" s="45"/>
      <c r="H175" s="45"/>
      <c r="I175" s="45"/>
      <c r="J175" s="45"/>
    </row>
    <row r="176" spans="1:10" s="48" customFormat="1">
      <c r="A176" s="61"/>
      <c r="F176" s="45"/>
      <c r="G176" s="45"/>
      <c r="H176" s="45"/>
      <c r="I176" s="45"/>
      <c r="J176" s="45"/>
    </row>
    <row r="177" spans="1:10" s="48" customFormat="1">
      <c r="A177" s="61"/>
      <c r="F177" s="45"/>
      <c r="G177" s="45"/>
      <c r="H177" s="45"/>
      <c r="I177" s="45"/>
      <c r="J177" s="45"/>
    </row>
    <row r="178" spans="1:10" s="48" customFormat="1">
      <c r="A178" s="61"/>
      <c r="F178" s="45"/>
      <c r="G178" s="45"/>
      <c r="H178" s="45"/>
      <c r="I178" s="45"/>
      <c r="J178" s="45"/>
    </row>
    <row r="179" spans="1:10" s="48" customFormat="1">
      <c r="A179" s="61"/>
      <c r="F179" s="45"/>
      <c r="G179" s="45"/>
      <c r="H179" s="45"/>
      <c r="I179" s="45"/>
      <c r="J179" s="45"/>
    </row>
    <row r="180" spans="1:10" s="48" customFormat="1">
      <c r="A180" s="61"/>
      <c r="F180" s="45"/>
      <c r="G180" s="45"/>
      <c r="H180" s="45"/>
      <c r="I180" s="45"/>
      <c r="J180" s="45"/>
    </row>
    <row r="181" spans="1:10" s="48" customFormat="1">
      <c r="A181" s="61"/>
      <c r="F181" s="45"/>
      <c r="G181" s="45"/>
      <c r="H181" s="45"/>
      <c r="I181" s="45"/>
      <c r="J181" s="45"/>
    </row>
    <row r="182" spans="1:10" s="48" customFormat="1">
      <c r="A182" s="61"/>
      <c r="F182" s="45"/>
      <c r="G182" s="45"/>
      <c r="H182" s="45"/>
      <c r="I182" s="45"/>
      <c r="J182" s="45"/>
    </row>
    <row r="183" spans="1:10" s="48" customFormat="1">
      <c r="A183" s="61"/>
      <c r="F183" s="45"/>
      <c r="G183" s="45"/>
      <c r="H183" s="45"/>
      <c r="I183" s="45"/>
      <c r="J183" s="45"/>
    </row>
    <row r="184" spans="1:10" s="48" customFormat="1">
      <c r="A184" s="61"/>
      <c r="F184" s="45"/>
      <c r="G184" s="45"/>
      <c r="H184" s="45"/>
      <c r="I184" s="45"/>
      <c r="J184" s="45"/>
    </row>
    <row r="185" spans="1:10" s="48" customFormat="1">
      <c r="A185" s="61"/>
      <c r="F185" s="45"/>
      <c r="G185" s="45"/>
      <c r="H185" s="45"/>
      <c r="I185" s="45"/>
      <c r="J185" s="45"/>
    </row>
    <row r="186" spans="1:10" s="48" customFormat="1">
      <c r="A186" s="61"/>
      <c r="F186" s="45"/>
      <c r="G186" s="45"/>
      <c r="H186" s="45"/>
      <c r="I186" s="45"/>
      <c r="J186" s="45"/>
    </row>
    <row r="187" spans="1:10" s="48" customFormat="1">
      <c r="A187" s="61"/>
      <c r="F187" s="45"/>
      <c r="G187" s="45"/>
      <c r="H187" s="45"/>
      <c r="I187" s="45"/>
      <c r="J187" s="45"/>
    </row>
    <row r="188" spans="1:10" s="48" customFormat="1">
      <c r="A188" s="61"/>
      <c r="F188" s="45"/>
      <c r="G188" s="45"/>
      <c r="H188" s="45"/>
      <c r="I188" s="45"/>
      <c r="J188" s="45"/>
    </row>
    <row r="189" spans="1:10" s="48" customFormat="1">
      <c r="A189" s="61"/>
      <c r="F189" s="45"/>
      <c r="G189" s="45"/>
      <c r="H189" s="45"/>
      <c r="I189" s="45"/>
      <c r="J189" s="45"/>
    </row>
    <row r="190" spans="1:10" s="48" customFormat="1">
      <c r="A190" s="61"/>
      <c r="F190" s="45"/>
      <c r="G190" s="45"/>
      <c r="H190" s="45"/>
      <c r="I190" s="45"/>
      <c r="J190" s="45"/>
    </row>
    <row r="191" spans="1:10" s="48" customFormat="1">
      <c r="A191" s="61"/>
      <c r="F191" s="45"/>
      <c r="G191" s="45"/>
      <c r="H191" s="45"/>
      <c r="I191" s="45"/>
      <c r="J191" s="45"/>
    </row>
    <row r="192" spans="1:10" s="48" customFormat="1">
      <c r="A192" s="61"/>
      <c r="F192" s="45"/>
      <c r="G192" s="45"/>
      <c r="H192" s="45"/>
      <c r="I192" s="45"/>
      <c r="J192" s="45"/>
    </row>
  </sheetData>
  <customSheetViews>
    <customSheetView guid="{4BF2F851-A775-4F33-8DA4-C59D9D94DA9D}" scale="75" showPageBreaks="1" printArea="1" view="pageBreakPreview">
      <pane ySplit="5" topLeftCell="A27" activePane="bottomLeft" state="frozen"/>
      <selection pane="bottomLeft" activeCell="H37" sqref="H37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  <customSheetView guid="{43DCEB14-ADF8-4168-9283-6542A71D3CF7}" scale="75" showPageBreaks="1" printArea="1" view="pageBreakPreview">
      <pane ySplit="5" topLeftCell="A30" activePane="bottomLeft" state="frozen"/>
      <selection pane="bottomLeft" activeCell="D20" sqref="D20:D21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3"/>
      <headerFooter alignWithMargins="0"/>
    </customSheetView>
  </customSheetViews>
  <mergeCells count="13">
    <mergeCell ref="A1:I1"/>
    <mergeCell ref="A3:A4"/>
    <mergeCell ref="B3:B4"/>
    <mergeCell ref="C3:C4"/>
    <mergeCell ref="D3:D4"/>
    <mergeCell ref="E3:E4"/>
    <mergeCell ref="F3:I3"/>
    <mergeCell ref="C42:E42"/>
    <mergeCell ref="G42:I42"/>
    <mergeCell ref="A6:I6"/>
    <mergeCell ref="A18:I18"/>
    <mergeCell ref="C41:E41"/>
    <mergeCell ref="G41:I41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I116"/>
  <sheetViews>
    <sheetView view="pageBreakPreview" zoomScale="75" zoomScaleNormal="75" zoomScaleSheetLayoutView="80" workbookViewId="0">
      <selection activeCell="I61" sqref="I61"/>
    </sheetView>
  </sheetViews>
  <sheetFormatPr defaultColWidth="9.140625"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1" customWidth="1"/>
    <col min="5" max="5" width="13.85546875" style="1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9">
      <c r="A1" s="398" t="s">
        <v>371</v>
      </c>
      <c r="B1" s="398"/>
      <c r="C1" s="398"/>
      <c r="D1" s="398"/>
      <c r="E1" s="398"/>
      <c r="F1" s="398"/>
      <c r="G1" s="398"/>
      <c r="H1" s="398"/>
      <c r="I1" s="398"/>
    </row>
    <row r="2" spans="1:9" outlineLevel="1">
      <c r="A2" s="21"/>
      <c r="B2" s="21"/>
      <c r="C2" s="21"/>
      <c r="D2" s="21"/>
      <c r="E2" s="21"/>
      <c r="F2" s="21"/>
      <c r="G2" s="21"/>
      <c r="H2" s="21"/>
      <c r="I2" s="21"/>
    </row>
    <row r="3" spans="1:9" ht="48" customHeight="1">
      <c r="A3" s="399" t="s">
        <v>271</v>
      </c>
      <c r="B3" s="397" t="s">
        <v>0</v>
      </c>
      <c r="C3" s="401" t="s">
        <v>31</v>
      </c>
      <c r="D3" s="401" t="s">
        <v>70</v>
      </c>
      <c r="E3" s="397" t="s">
        <v>180</v>
      </c>
      <c r="F3" s="378" t="s">
        <v>363</v>
      </c>
      <c r="G3" s="378"/>
      <c r="H3" s="378"/>
      <c r="I3" s="378"/>
    </row>
    <row r="4" spans="1:9" ht="38.25" customHeight="1">
      <c r="A4" s="400"/>
      <c r="B4" s="397"/>
      <c r="C4" s="401"/>
      <c r="D4" s="401"/>
      <c r="E4" s="397"/>
      <c r="F4" s="13" t="s">
        <v>372</v>
      </c>
      <c r="G4" s="13" t="s">
        <v>365</v>
      </c>
      <c r="H4" s="13" t="s">
        <v>366</v>
      </c>
      <c r="I4" s="13" t="s">
        <v>86</v>
      </c>
    </row>
    <row r="5" spans="1:9" ht="18" customHeight="1">
      <c r="A5" s="7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9" s="59" customFormat="1" ht="20.100000000000001" customHeight="1">
      <c r="A6" s="389" t="s">
        <v>170</v>
      </c>
      <c r="B6" s="390"/>
      <c r="C6" s="390"/>
      <c r="D6" s="390"/>
      <c r="E6" s="390"/>
      <c r="F6" s="390"/>
      <c r="G6" s="390"/>
      <c r="H6" s="390"/>
      <c r="I6" s="391"/>
    </row>
    <row r="7" spans="1:9" ht="37.5">
      <c r="A7" s="46" t="s">
        <v>190</v>
      </c>
      <c r="B7" s="9">
        <v>1170</v>
      </c>
      <c r="C7" s="169">
        <f>'I. Фін результат'!C76</f>
        <v>45</v>
      </c>
      <c r="D7" s="169">
        <f>'I. Фін результат'!D76</f>
        <v>55</v>
      </c>
      <c r="E7" s="169">
        <f>'I. Фін результат'!E76</f>
        <v>32</v>
      </c>
      <c r="F7" s="169">
        <f>'I. Фін результат'!F76</f>
        <v>5</v>
      </c>
      <c r="G7" s="169">
        <f>'I. Фін результат'!G76</f>
        <v>20</v>
      </c>
      <c r="H7" s="169">
        <f>'I. Фін результат'!H76</f>
        <v>32</v>
      </c>
      <c r="I7" s="169">
        <f>'I. Фін результат'!I76</f>
        <v>43</v>
      </c>
    </row>
    <row r="8" spans="1:9" ht="20.100000000000001" customHeight="1">
      <c r="A8" s="46" t="s">
        <v>191</v>
      </c>
      <c r="B8" s="14"/>
      <c r="C8" s="172"/>
      <c r="D8" s="172"/>
      <c r="E8" s="172"/>
      <c r="F8" s="172"/>
      <c r="G8" s="172"/>
      <c r="H8" s="172"/>
      <c r="I8" s="172"/>
    </row>
    <row r="9" spans="1:9" ht="20.100000000000001" customHeight="1">
      <c r="A9" s="46" t="s">
        <v>194</v>
      </c>
      <c r="B9" s="6">
        <v>3000</v>
      </c>
      <c r="C9" s="169">
        <f>'I. Фін результат'!C102</f>
        <v>293</v>
      </c>
      <c r="D9" s="169">
        <f>'I. Фін результат'!D102</f>
        <v>299</v>
      </c>
      <c r="E9" s="169">
        <f>'I. Фін результат'!E102</f>
        <v>299</v>
      </c>
      <c r="F9" s="169">
        <f>'I. Фін результат'!F102</f>
        <v>36</v>
      </c>
      <c r="G9" s="169">
        <f>'I. Фін результат'!G102</f>
        <v>177</v>
      </c>
      <c r="H9" s="169">
        <f>'I. Фін результат'!H102</f>
        <v>254</v>
      </c>
      <c r="I9" s="169">
        <f>'I. Фін результат'!I102</f>
        <v>299</v>
      </c>
    </row>
    <row r="10" spans="1:9" ht="20.100000000000001" customHeight="1">
      <c r="A10" s="46" t="s">
        <v>195</v>
      </c>
      <c r="B10" s="6">
        <v>3010</v>
      </c>
      <c r="C10" s="168"/>
      <c r="D10" s="168"/>
      <c r="E10" s="168"/>
      <c r="F10" s="168"/>
      <c r="G10" s="168"/>
      <c r="H10" s="168"/>
      <c r="I10" s="168"/>
    </row>
    <row r="11" spans="1:9" ht="37.5">
      <c r="A11" s="46" t="s">
        <v>196</v>
      </c>
      <c r="B11" s="6">
        <v>3020</v>
      </c>
      <c r="C11" s="168"/>
      <c r="D11" s="168"/>
      <c r="E11" s="168"/>
      <c r="F11" s="168"/>
      <c r="G11" s="168"/>
      <c r="H11" s="168"/>
      <c r="I11" s="168"/>
    </row>
    <row r="12" spans="1:9" ht="56.25">
      <c r="A12" s="46" t="s">
        <v>197</v>
      </c>
      <c r="B12" s="6">
        <v>3030</v>
      </c>
      <c r="C12" s="224">
        <f>C13+C14+C15</f>
        <v>573</v>
      </c>
      <c r="D12" s="168">
        <f t="shared" ref="D12:I12" si="0">D13+D14</f>
        <v>0</v>
      </c>
      <c r="E12" s="168">
        <f>E13+E14+E15</f>
        <v>541</v>
      </c>
      <c r="F12" s="168">
        <f t="shared" si="0"/>
        <v>0</v>
      </c>
      <c r="G12" s="168">
        <f t="shared" si="0"/>
        <v>0</v>
      </c>
      <c r="H12" s="168">
        <f t="shared" si="0"/>
        <v>0</v>
      </c>
      <c r="I12" s="168">
        <f t="shared" si="0"/>
        <v>0</v>
      </c>
    </row>
    <row r="13" spans="1:9" ht="37.5">
      <c r="A13" s="46" t="s">
        <v>439</v>
      </c>
      <c r="B13" s="313" t="s">
        <v>549</v>
      </c>
      <c r="C13" s="224">
        <v>415</v>
      </c>
      <c r="D13" s="168">
        <v>0</v>
      </c>
      <c r="E13" s="168">
        <f>564-53</f>
        <v>511</v>
      </c>
      <c r="F13" s="168">
        <f>-'I. Фін результат'!F72</f>
        <v>0</v>
      </c>
      <c r="G13" s="168">
        <f>-'I. Фін результат'!G72</f>
        <v>0</v>
      </c>
      <c r="H13" s="168">
        <f>-'I. Фін результат'!H72</f>
        <v>0</v>
      </c>
      <c r="I13" s="168">
        <f>-'I. Фін результат'!I72</f>
        <v>0</v>
      </c>
    </row>
    <row r="14" spans="1:9" ht="23.25" customHeight="1">
      <c r="A14" s="46" t="s">
        <v>445</v>
      </c>
      <c r="B14" s="313" t="s">
        <v>440</v>
      </c>
      <c r="C14" s="224">
        <v>0</v>
      </c>
      <c r="D14" s="168">
        <v>0</v>
      </c>
      <c r="E14" s="168">
        <v>23</v>
      </c>
      <c r="F14" s="168"/>
      <c r="G14" s="168"/>
      <c r="H14" s="168"/>
      <c r="I14" s="168"/>
    </row>
    <row r="15" spans="1:9" ht="23.25" customHeight="1">
      <c r="A15" s="46" t="s">
        <v>548</v>
      </c>
      <c r="B15" s="313" t="s">
        <v>446</v>
      </c>
      <c r="C15" s="224">
        <v>158</v>
      </c>
      <c r="D15" s="168"/>
      <c r="E15" s="168">
        <v>7</v>
      </c>
      <c r="F15" s="168"/>
      <c r="G15" s="168"/>
      <c r="H15" s="168"/>
      <c r="I15" s="168"/>
    </row>
    <row r="16" spans="1:9" ht="42.75" customHeight="1">
      <c r="A16" s="58" t="s">
        <v>257</v>
      </c>
      <c r="B16" s="91">
        <v>3040</v>
      </c>
      <c r="C16" s="170">
        <f t="shared" ref="C16:I16" si="1">SUM(C7:C12)</f>
        <v>911</v>
      </c>
      <c r="D16" s="170">
        <f>SUM(D7:D12)</f>
        <v>354</v>
      </c>
      <c r="E16" s="170">
        <f>SUM(E7:E12)</f>
        <v>872</v>
      </c>
      <c r="F16" s="170">
        <f t="shared" si="1"/>
        <v>41</v>
      </c>
      <c r="G16" s="170">
        <f t="shared" si="1"/>
        <v>197</v>
      </c>
      <c r="H16" s="170">
        <f t="shared" si="1"/>
        <v>286</v>
      </c>
      <c r="I16" s="170">
        <f t="shared" si="1"/>
        <v>342</v>
      </c>
    </row>
    <row r="17" spans="1:9" ht="37.5">
      <c r="A17" s="46" t="s">
        <v>198</v>
      </c>
      <c r="B17" s="6">
        <v>3050</v>
      </c>
      <c r="C17" s="168">
        <f>SUM(C18:C20)</f>
        <v>-26</v>
      </c>
      <c r="D17" s="168">
        <f t="shared" ref="D17:I17" si="2">SUM(D18:D20)</f>
        <v>0</v>
      </c>
      <c r="E17" s="168">
        <f t="shared" si="2"/>
        <v>-147</v>
      </c>
      <c r="F17" s="168">
        <f t="shared" si="2"/>
        <v>0</v>
      </c>
      <c r="G17" s="168">
        <f t="shared" si="2"/>
        <v>0</v>
      </c>
      <c r="H17" s="168">
        <f t="shared" si="2"/>
        <v>0</v>
      </c>
      <c r="I17" s="168">
        <f t="shared" si="2"/>
        <v>0</v>
      </c>
    </row>
    <row r="18" spans="1:9">
      <c r="A18" s="46" t="s">
        <v>441</v>
      </c>
      <c r="B18" s="6" t="s">
        <v>417</v>
      </c>
      <c r="C18" s="224">
        <v>-17</v>
      </c>
      <c r="D18" s="168"/>
      <c r="E18" s="168">
        <v>-90</v>
      </c>
      <c r="F18" s="224"/>
      <c r="G18" s="224"/>
      <c r="H18" s="224"/>
      <c r="I18" s="224"/>
    </row>
    <row r="19" spans="1:9">
      <c r="A19" s="46" t="s">
        <v>442</v>
      </c>
      <c r="B19" s="229" t="s">
        <v>418</v>
      </c>
      <c r="C19" s="168">
        <v>-49</v>
      </c>
      <c r="D19" s="168"/>
      <c r="E19" s="168">
        <v>-112</v>
      </c>
      <c r="F19" s="224"/>
      <c r="G19" s="224"/>
      <c r="H19" s="224"/>
      <c r="I19" s="224"/>
    </row>
    <row r="20" spans="1:9">
      <c r="A20" s="46" t="s">
        <v>443</v>
      </c>
      <c r="B20" s="229" t="s">
        <v>444</v>
      </c>
      <c r="C20" s="168">
        <v>40</v>
      </c>
      <c r="D20" s="168"/>
      <c r="E20" s="168">
        <v>55</v>
      </c>
      <c r="F20" s="224"/>
      <c r="G20" s="224"/>
      <c r="H20" s="224"/>
      <c r="I20" s="224"/>
    </row>
    <row r="21" spans="1:9" ht="37.5">
      <c r="A21" s="46" t="s">
        <v>199</v>
      </c>
      <c r="B21" s="6">
        <v>3060</v>
      </c>
      <c r="C21" s="168">
        <f t="shared" ref="C21:D21" si="3">SUM(C22:C24)</f>
        <v>-655</v>
      </c>
      <c r="D21" s="168">
        <f t="shared" si="3"/>
        <v>0</v>
      </c>
      <c r="E21" s="168">
        <f>E22+E23+E24</f>
        <v>-272</v>
      </c>
      <c r="F21" s="224">
        <f>F22+F23+F24</f>
        <v>0</v>
      </c>
      <c r="G21" s="224">
        <f>G22+G23+G24</f>
        <v>0</v>
      </c>
      <c r="H21" s="224">
        <f>H22+H23+H24</f>
        <v>0</v>
      </c>
      <c r="I21" s="224">
        <f>I22+I23+I24</f>
        <v>0</v>
      </c>
    </row>
    <row r="22" spans="1:9">
      <c r="A22" s="46" t="s">
        <v>447</v>
      </c>
      <c r="B22" s="6" t="s">
        <v>419</v>
      </c>
      <c r="C22" s="168">
        <v>4</v>
      </c>
      <c r="D22" s="168"/>
      <c r="E22" s="168">
        <v>-4</v>
      </c>
      <c r="F22" s="224"/>
      <c r="G22" s="224"/>
      <c r="H22" s="224"/>
      <c r="I22" s="224"/>
    </row>
    <row r="23" spans="1:9">
      <c r="A23" s="46" t="s">
        <v>448</v>
      </c>
      <c r="B23" s="6" t="s">
        <v>420</v>
      </c>
      <c r="C23" s="168">
        <v>-629</v>
      </c>
      <c r="D23" s="168"/>
      <c r="E23" s="168">
        <v>-288</v>
      </c>
      <c r="F23" s="224"/>
      <c r="G23" s="224"/>
      <c r="H23" s="224"/>
      <c r="I23" s="224"/>
    </row>
    <row r="24" spans="1:9">
      <c r="A24" s="46" t="s">
        <v>449</v>
      </c>
      <c r="B24" s="229" t="s">
        <v>450</v>
      </c>
      <c r="C24" s="168">
        <v>-30</v>
      </c>
      <c r="D24" s="168"/>
      <c r="E24" s="168">
        <v>20</v>
      </c>
      <c r="F24" s="224"/>
      <c r="G24" s="224"/>
      <c r="H24" s="224"/>
      <c r="I24" s="224"/>
    </row>
    <row r="25" spans="1:9" ht="20.100000000000001" customHeight="1">
      <c r="A25" s="58" t="s">
        <v>192</v>
      </c>
      <c r="B25" s="91">
        <v>3070</v>
      </c>
      <c r="C25" s="170">
        <f t="shared" ref="C25:I25" si="4">C16+C17+C21</f>
        <v>230</v>
      </c>
      <c r="D25" s="170">
        <f t="shared" si="4"/>
        <v>354</v>
      </c>
      <c r="E25" s="170">
        <f>E16+E17+E21</f>
        <v>453</v>
      </c>
      <c r="F25" s="170">
        <f t="shared" si="4"/>
        <v>41</v>
      </c>
      <c r="G25" s="170">
        <f t="shared" si="4"/>
        <v>197</v>
      </c>
      <c r="H25" s="170">
        <f t="shared" si="4"/>
        <v>286</v>
      </c>
      <c r="I25" s="170">
        <f t="shared" si="4"/>
        <v>342</v>
      </c>
    </row>
    <row r="26" spans="1:9" ht="20.100000000000001" customHeight="1">
      <c r="A26" s="46" t="s">
        <v>193</v>
      </c>
      <c r="B26" s="6">
        <v>3080</v>
      </c>
      <c r="C26" s="169">
        <f>'I. Фін результат'!C77</f>
        <v>8</v>
      </c>
      <c r="D26" s="169">
        <f>'I. Фін результат'!D77</f>
        <v>10</v>
      </c>
      <c r="E26" s="169">
        <f>'I. Фін результат'!E77</f>
        <v>10</v>
      </c>
      <c r="F26" s="169">
        <f>'I. Фін результат'!F77</f>
        <v>0</v>
      </c>
      <c r="G26" s="169">
        <f>'I. Фін результат'!G77</f>
        <v>0</v>
      </c>
      <c r="H26" s="169">
        <f>'I. Фін результат'!H77</f>
        <v>0</v>
      </c>
      <c r="I26" s="169">
        <f>'I. Фін результат'!I77</f>
        <v>8</v>
      </c>
    </row>
    <row r="27" spans="1:9" ht="37.5">
      <c r="A27" s="10" t="s">
        <v>169</v>
      </c>
      <c r="B27" s="91">
        <v>3090</v>
      </c>
      <c r="C27" s="170">
        <f>C25-C26</f>
        <v>222</v>
      </c>
      <c r="D27" s="170">
        <f t="shared" ref="D27:I27" si="5">D25-D26</f>
        <v>344</v>
      </c>
      <c r="E27" s="170">
        <f t="shared" si="5"/>
        <v>443</v>
      </c>
      <c r="F27" s="170">
        <f t="shared" si="5"/>
        <v>41</v>
      </c>
      <c r="G27" s="170">
        <f t="shared" si="5"/>
        <v>197</v>
      </c>
      <c r="H27" s="170">
        <f t="shared" si="5"/>
        <v>286</v>
      </c>
      <c r="I27" s="170">
        <f t="shared" si="5"/>
        <v>334</v>
      </c>
    </row>
    <row r="28" spans="1:9" ht="20.100000000000001" customHeight="1">
      <c r="A28" s="389" t="s">
        <v>171</v>
      </c>
      <c r="B28" s="390"/>
      <c r="C28" s="390"/>
      <c r="D28" s="390"/>
      <c r="E28" s="390"/>
      <c r="F28" s="390"/>
      <c r="G28" s="390"/>
      <c r="H28" s="390"/>
      <c r="I28" s="391"/>
    </row>
    <row r="29" spans="1:9" ht="20.100000000000001" customHeight="1">
      <c r="A29" s="58" t="s">
        <v>286</v>
      </c>
      <c r="B29" s="9"/>
      <c r="C29" s="168"/>
      <c r="D29" s="168"/>
      <c r="E29" s="168"/>
      <c r="F29" s="168"/>
      <c r="G29" s="168"/>
      <c r="H29" s="168"/>
      <c r="I29" s="168"/>
    </row>
    <row r="30" spans="1:9" ht="20.100000000000001" customHeight="1">
      <c r="A30" s="8" t="s">
        <v>32</v>
      </c>
      <c r="B30" s="9">
        <v>3200</v>
      </c>
      <c r="C30" s="168"/>
      <c r="D30" s="168"/>
      <c r="E30" s="168"/>
      <c r="F30" s="168"/>
      <c r="G30" s="168"/>
      <c r="H30" s="168"/>
      <c r="I30" s="168"/>
    </row>
    <row r="31" spans="1:9" ht="20.100000000000001" customHeight="1">
      <c r="A31" s="8" t="s">
        <v>33</v>
      </c>
      <c r="B31" s="9">
        <v>3210</v>
      </c>
      <c r="C31" s="168"/>
      <c r="D31" s="168"/>
      <c r="E31" s="168"/>
      <c r="F31" s="168"/>
      <c r="G31" s="168"/>
      <c r="H31" s="168"/>
      <c r="I31" s="168"/>
    </row>
    <row r="32" spans="1:9" ht="20.100000000000001" customHeight="1">
      <c r="A32" s="8" t="s">
        <v>56</v>
      </c>
      <c r="B32" s="9">
        <v>3220</v>
      </c>
      <c r="C32" s="168"/>
      <c r="D32" s="168"/>
      <c r="E32" s="168"/>
      <c r="F32" s="168"/>
      <c r="G32" s="168"/>
      <c r="H32" s="168"/>
      <c r="I32" s="168"/>
    </row>
    <row r="33" spans="1:9" ht="20.100000000000001" customHeight="1">
      <c r="A33" s="46" t="s">
        <v>175</v>
      </c>
      <c r="B33" s="9"/>
      <c r="C33" s="168"/>
      <c r="D33" s="168"/>
      <c r="E33" s="168"/>
      <c r="F33" s="168"/>
      <c r="G33" s="168"/>
      <c r="H33" s="168"/>
      <c r="I33" s="168"/>
    </row>
    <row r="34" spans="1:9" ht="20.100000000000001" customHeight="1">
      <c r="A34" s="8" t="s">
        <v>176</v>
      </c>
      <c r="B34" s="9">
        <v>3230</v>
      </c>
      <c r="C34" s="168"/>
      <c r="D34" s="168"/>
      <c r="E34" s="168"/>
      <c r="F34" s="168"/>
      <c r="G34" s="168"/>
      <c r="H34" s="168"/>
      <c r="I34" s="168"/>
    </row>
    <row r="35" spans="1:9" ht="20.100000000000001" customHeight="1">
      <c r="A35" s="8" t="s">
        <v>177</v>
      </c>
      <c r="B35" s="9">
        <v>3240</v>
      </c>
      <c r="C35" s="168"/>
      <c r="D35" s="168"/>
      <c r="E35" s="168"/>
      <c r="F35" s="168"/>
      <c r="G35" s="168"/>
      <c r="H35" s="168"/>
      <c r="I35" s="168"/>
    </row>
    <row r="36" spans="1:9" ht="20.100000000000001" customHeight="1">
      <c r="A36" s="46" t="s">
        <v>178</v>
      </c>
      <c r="B36" s="9">
        <v>3250</v>
      </c>
      <c r="C36" s="168"/>
      <c r="D36" s="168"/>
      <c r="E36" s="168"/>
      <c r="F36" s="168"/>
      <c r="G36" s="168"/>
      <c r="H36" s="168"/>
      <c r="I36" s="168"/>
    </row>
    <row r="37" spans="1:9" ht="20.100000000000001" customHeight="1">
      <c r="A37" s="8" t="s">
        <v>131</v>
      </c>
      <c r="B37" s="9">
        <v>3260</v>
      </c>
      <c r="C37" s="168"/>
      <c r="D37" s="168"/>
      <c r="E37" s="168"/>
      <c r="F37" s="168"/>
      <c r="G37" s="168"/>
      <c r="H37" s="168"/>
      <c r="I37" s="168"/>
    </row>
    <row r="38" spans="1:9" ht="20.100000000000001" customHeight="1">
      <c r="A38" s="58" t="s">
        <v>288</v>
      </c>
      <c r="B38" s="9"/>
      <c r="C38" s="168"/>
      <c r="D38" s="168"/>
      <c r="E38" s="168"/>
      <c r="F38" s="168"/>
      <c r="G38" s="168"/>
      <c r="H38" s="168"/>
      <c r="I38" s="168"/>
    </row>
    <row r="39" spans="1:9" ht="37.5">
      <c r="A39" s="8" t="s">
        <v>132</v>
      </c>
      <c r="B39" s="9">
        <v>3270</v>
      </c>
      <c r="C39" s="168">
        <f t="shared" ref="C39" si="6">C40</f>
        <v>1056</v>
      </c>
      <c r="D39" s="168">
        <f>D40+D41</f>
        <v>179</v>
      </c>
      <c r="E39" s="168">
        <f>E40+E41</f>
        <v>145</v>
      </c>
      <c r="F39" s="168">
        <f>F40+F41</f>
        <v>37</v>
      </c>
      <c r="G39" s="168">
        <f t="shared" ref="G39:I39" si="7">G40+G41</f>
        <v>936</v>
      </c>
      <c r="H39" s="168">
        <f t="shared" si="7"/>
        <v>959</v>
      </c>
      <c r="I39" s="168">
        <f t="shared" si="7"/>
        <v>959</v>
      </c>
    </row>
    <row r="40" spans="1:9">
      <c r="A40" s="8" t="s">
        <v>554</v>
      </c>
      <c r="B40" s="229" t="s">
        <v>451</v>
      </c>
      <c r="C40" s="168">
        <v>1056</v>
      </c>
      <c r="D40" s="168">
        <v>20</v>
      </c>
      <c r="E40" s="168">
        <v>20</v>
      </c>
      <c r="F40" s="168">
        <v>0</v>
      </c>
      <c r="G40" s="168">
        <v>800</v>
      </c>
      <c r="H40" s="168">
        <v>800</v>
      </c>
      <c r="I40" s="168">
        <v>800</v>
      </c>
    </row>
    <row r="41" spans="1:9">
      <c r="A41" s="8" t="s">
        <v>453</v>
      </c>
      <c r="B41" s="229" t="s">
        <v>452</v>
      </c>
      <c r="C41" s="168"/>
      <c r="D41" s="168">
        <v>159</v>
      </c>
      <c r="E41" s="168">
        <v>125</v>
      </c>
      <c r="F41" s="168">
        <v>37</v>
      </c>
      <c r="G41" s="168">
        <v>136</v>
      </c>
      <c r="H41" s="168">
        <v>159</v>
      </c>
      <c r="I41" s="168">
        <v>159</v>
      </c>
    </row>
    <row r="42" spans="1:9" ht="20.100000000000001" customHeight="1">
      <c r="A42" s="8" t="s">
        <v>133</v>
      </c>
      <c r="B42" s="9">
        <v>3280</v>
      </c>
      <c r="C42" s="168"/>
      <c r="D42" s="168"/>
      <c r="E42" s="168"/>
      <c r="F42" s="168"/>
      <c r="G42" s="168"/>
      <c r="H42" s="168"/>
      <c r="I42" s="168"/>
    </row>
    <row r="43" spans="1:9" ht="37.5">
      <c r="A43" s="8" t="s">
        <v>134</v>
      </c>
      <c r="B43" s="9">
        <v>3290</v>
      </c>
      <c r="C43" s="168"/>
      <c r="D43" s="168"/>
      <c r="E43" s="168"/>
      <c r="F43" s="168"/>
      <c r="G43" s="168"/>
      <c r="H43" s="168"/>
      <c r="I43" s="168"/>
    </row>
    <row r="44" spans="1:9" ht="20.100000000000001" customHeight="1">
      <c r="A44" s="8" t="s">
        <v>57</v>
      </c>
      <c r="B44" s="9">
        <v>3300</v>
      </c>
      <c r="C44" s="168"/>
      <c r="D44" s="168"/>
      <c r="E44" s="168"/>
      <c r="F44" s="168"/>
      <c r="G44" s="168"/>
      <c r="H44" s="168"/>
      <c r="I44" s="168"/>
    </row>
    <row r="45" spans="1:9" ht="20.100000000000001" customHeight="1">
      <c r="A45" s="8" t="s">
        <v>126</v>
      </c>
      <c r="B45" s="9">
        <v>3310</v>
      </c>
      <c r="C45" s="168">
        <f>C46</f>
        <v>0</v>
      </c>
      <c r="D45" s="168"/>
      <c r="E45" s="168">
        <f t="shared" ref="E45:I45" si="8">E46</f>
        <v>0</v>
      </c>
      <c r="F45" s="168">
        <f t="shared" si="8"/>
        <v>0</v>
      </c>
      <c r="G45" s="168">
        <f t="shared" si="8"/>
        <v>0</v>
      </c>
      <c r="H45" s="168">
        <f t="shared" si="8"/>
        <v>0</v>
      </c>
      <c r="I45" s="168">
        <f t="shared" si="8"/>
        <v>0</v>
      </c>
    </row>
    <row r="46" spans="1:9" ht="20.100000000000001" customHeight="1">
      <c r="A46" s="8" t="s">
        <v>411</v>
      </c>
      <c r="B46" s="6" t="s">
        <v>421</v>
      </c>
      <c r="C46" s="168"/>
      <c r="D46" s="168"/>
      <c r="E46" s="168">
        <v>0</v>
      </c>
      <c r="F46" s="224">
        <v>0</v>
      </c>
      <c r="G46" s="224">
        <v>0</v>
      </c>
      <c r="H46" s="224">
        <v>0</v>
      </c>
      <c r="I46" s="224">
        <v>0</v>
      </c>
    </row>
    <row r="47" spans="1:9" ht="37.5">
      <c r="A47" s="58" t="s">
        <v>172</v>
      </c>
      <c r="B47" s="11">
        <v>3320</v>
      </c>
      <c r="C47" s="170">
        <f>(C30+C31+C32+C34+C35+C36+C37)-(C39+C42+C43+C44+C45)</f>
        <v>-1056</v>
      </c>
      <c r="D47" s="170">
        <f t="shared" ref="D47:I47" si="9">(D30+D31+D32+D34+D35+D36+D37)-(D39+D42+D43+D44+D45)</f>
        <v>-179</v>
      </c>
      <c r="E47" s="170">
        <f t="shared" si="9"/>
        <v>-145</v>
      </c>
      <c r="F47" s="170">
        <f t="shared" si="9"/>
        <v>-37</v>
      </c>
      <c r="G47" s="170">
        <f t="shared" si="9"/>
        <v>-936</v>
      </c>
      <c r="H47" s="170">
        <f t="shared" si="9"/>
        <v>-959</v>
      </c>
      <c r="I47" s="170">
        <f t="shared" si="9"/>
        <v>-959</v>
      </c>
    </row>
    <row r="48" spans="1:9" ht="20.100000000000001" customHeight="1">
      <c r="A48" s="389" t="s">
        <v>173</v>
      </c>
      <c r="B48" s="390"/>
      <c r="C48" s="390"/>
      <c r="D48" s="390"/>
      <c r="E48" s="390"/>
      <c r="F48" s="390"/>
      <c r="G48" s="390"/>
      <c r="H48" s="390"/>
      <c r="I48" s="391"/>
    </row>
    <row r="49" spans="1:9" ht="20.100000000000001" customHeight="1">
      <c r="A49" s="58" t="s">
        <v>287</v>
      </c>
      <c r="B49" s="9"/>
      <c r="C49" s="168">
        <v>356</v>
      </c>
      <c r="D49" s="168"/>
      <c r="E49" s="168"/>
      <c r="F49" s="168"/>
      <c r="G49" s="168"/>
      <c r="H49" s="168"/>
      <c r="I49" s="168"/>
    </row>
    <row r="50" spans="1:9" ht="20.100000000000001" customHeight="1">
      <c r="A50" s="46" t="s">
        <v>179</v>
      </c>
      <c r="B50" s="9">
        <v>3400</v>
      </c>
      <c r="C50" s="168"/>
      <c r="D50" s="168"/>
      <c r="E50" s="168"/>
      <c r="F50" s="168"/>
      <c r="G50" s="168"/>
      <c r="H50" s="168"/>
      <c r="I50" s="168"/>
    </row>
    <row r="51" spans="1:9" ht="37.5">
      <c r="A51" s="8" t="s">
        <v>100</v>
      </c>
      <c r="C51" s="168"/>
      <c r="D51" s="168"/>
      <c r="E51" s="168"/>
      <c r="F51" s="168"/>
      <c r="G51" s="168"/>
      <c r="H51" s="168"/>
      <c r="I51" s="168"/>
    </row>
    <row r="52" spans="1:9" ht="20.100000000000001" customHeight="1">
      <c r="A52" s="8" t="s">
        <v>99</v>
      </c>
      <c r="B52" s="9">
        <v>3410</v>
      </c>
      <c r="C52" s="168"/>
      <c r="D52" s="168"/>
      <c r="E52" s="168"/>
      <c r="F52" s="168"/>
      <c r="G52" s="168"/>
      <c r="H52" s="168"/>
      <c r="I52" s="168"/>
    </row>
    <row r="53" spans="1:9" ht="20.100000000000001" customHeight="1">
      <c r="A53" s="8" t="s">
        <v>104</v>
      </c>
      <c r="B53" s="6">
        <v>3420</v>
      </c>
      <c r="C53" s="168"/>
      <c r="D53" s="168"/>
      <c r="E53" s="168"/>
      <c r="F53" s="168"/>
      <c r="G53" s="168"/>
      <c r="H53" s="168"/>
      <c r="I53" s="168"/>
    </row>
    <row r="54" spans="1:9" ht="20.100000000000001" customHeight="1">
      <c r="A54" s="8" t="s">
        <v>135</v>
      </c>
      <c r="B54" s="9">
        <v>3430</v>
      </c>
      <c r="C54" s="168"/>
      <c r="D54" s="168"/>
      <c r="E54" s="168"/>
      <c r="F54" s="168"/>
      <c r="G54" s="168"/>
      <c r="H54" s="168"/>
      <c r="I54" s="168"/>
    </row>
    <row r="55" spans="1:9" ht="37.5">
      <c r="A55" s="8" t="s">
        <v>102</v>
      </c>
      <c r="B55" s="9"/>
      <c r="C55" s="168"/>
      <c r="D55" s="168"/>
      <c r="E55" s="168"/>
      <c r="F55" s="168"/>
      <c r="G55" s="168"/>
      <c r="H55" s="168"/>
      <c r="I55" s="168"/>
    </row>
    <row r="56" spans="1:9" ht="20.100000000000001" customHeight="1">
      <c r="A56" s="8" t="s">
        <v>99</v>
      </c>
      <c r="B56" s="6">
        <v>3440</v>
      </c>
      <c r="C56" s="168"/>
      <c r="D56" s="168"/>
      <c r="E56" s="168"/>
      <c r="F56" s="168"/>
      <c r="G56" s="168"/>
      <c r="H56" s="168"/>
      <c r="I56" s="168"/>
    </row>
    <row r="57" spans="1:9" ht="20.100000000000001" customHeight="1">
      <c r="A57" s="8" t="s">
        <v>104</v>
      </c>
      <c r="B57" s="6">
        <v>3450</v>
      </c>
      <c r="C57" s="168"/>
      <c r="D57" s="168"/>
      <c r="E57" s="168"/>
      <c r="F57" s="168"/>
      <c r="G57" s="168"/>
      <c r="H57" s="168"/>
      <c r="I57" s="168"/>
    </row>
    <row r="58" spans="1:9" ht="20.100000000000001" customHeight="1">
      <c r="A58" s="8" t="s">
        <v>135</v>
      </c>
      <c r="B58" s="6">
        <v>3460</v>
      </c>
      <c r="C58" s="168"/>
      <c r="D58" s="168"/>
      <c r="E58" s="168"/>
      <c r="F58" s="168"/>
      <c r="G58" s="168"/>
      <c r="H58" s="168"/>
      <c r="I58" s="168"/>
    </row>
    <row r="59" spans="1:9" ht="20.100000000000001" customHeight="1">
      <c r="A59" s="8" t="s">
        <v>130</v>
      </c>
      <c r="B59" s="6">
        <v>3470</v>
      </c>
      <c r="C59" s="168">
        <f>C60</f>
        <v>0</v>
      </c>
      <c r="D59" s="168">
        <f>D60</f>
        <v>20</v>
      </c>
      <c r="E59" s="168">
        <f>E60</f>
        <v>20</v>
      </c>
      <c r="F59" s="168">
        <f>F60</f>
        <v>0</v>
      </c>
      <c r="G59" s="168">
        <f t="shared" ref="G59:I59" si="10">G60</f>
        <v>800</v>
      </c>
      <c r="H59" s="168">
        <f t="shared" si="10"/>
        <v>800</v>
      </c>
      <c r="I59" s="168">
        <f t="shared" si="10"/>
        <v>800</v>
      </c>
    </row>
    <row r="60" spans="1:9" ht="20.100000000000001" customHeight="1">
      <c r="A60" s="8" t="s">
        <v>424</v>
      </c>
      <c r="B60" s="6" t="s">
        <v>423</v>
      </c>
      <c r="C60" s="168"/>
      <c r="D60" s="168">
        <v>20</v>
      </c>
      <c r="E60" s="168">
        <v>20</v>
      </c>
      <c r="F60" s="224">
        <v>0</v>
      </c>
      <c r="G60" s="224">
        <v>800</v>
      </c>
      <c r="H60" s="224">
        <v>800</v>
      </c>
      <c r="I60" s="224">
        <v>800</v>
      </c>
    </row>
    <row r="61" spans="1:9" ht="20.100000000000001" customHeight="1">
      <c r="A61" s="8" t="s">
        <v>131</v>
      </c>
      <c r="B61" s="6">
        <v>3480</v>
      </c>
      <c r="C61" s="168"/>
      <c r="D61" s="168"/>
      <c r="E61" s="168"/>
      <c r="F61" s="168"/>
      <c r="G61" s="168"/>
      <c r="H61" s="168"/>
      <c r="I61" s="168"/>
    </row>
    <row r="62" spans="1:9" ht="20.100000000000001" customHeight="1">
      <c r="A62" s="8" t="s">
        <v>415</v>
      </c>
      <c r="B62" s="6" t="s">
        <v>416</v>
      </c>
      <c r="C62" s="168"/>
      <c r="D62" s="168"/>
      <c r="E62" s="168"/>
      <c r="F62" s="168"/>
      <c r="G62" s="168"/>
      <c r="H62" s="168"/>
      <c r="I62" s="168"/>
    </row>
    <row r="63" spans="1:9" ht="20.100000000000001" customHeight="1">
      <c r="A63" s="58" t="s">
        <v>288</v>
      </c>
      <c r="B63" s="9"/>
      <c r="C63" s="168"/>
      <c r="D63" s="168"/>
      <c r="E63" s="168"/>
      <c r="F63" s="168"/>
      <c r="G63" s="168"/>
      <c r="H63" s="168"/>
      <c r="I63" s="168"/>
    </row>
    <row r="64" spans="1:9" ht="37.5">
      <c r="A64" s="8" t="s">
        <v>369</v>
      </c>
      <c r="B64" s="9">
        <v>3490</v>
      </c>
      <c r="C64" s="169">
        <f>'ІІ. Розр. з бюджетом'!C9</f>
        <v>0</v>
      </c>
      <c r="D64" s="169">
        <f>'ІІ. Розр. з бюджетом'!D9</f>
        <v>7</v>
      </c>
      <c r="E64" s="169">
        <f>'ІІ. Розр. з бюджетом'!E9</f>
        <v>3</v>
      </c>
      <c r="F64" s="169">
        <f>'ІІ. Розр. з бюджетом'!F20</f>
        <v>1</v>
      </c>
      <c r="G64" s="169">
        <f>'ІІ. Розр. з бюджетом'!G9</f>
        <v>3</v>
      </c>
      <c r="H64" s="169">
        <f>'ІІ. Розр. з бюджетом'!H9</f>
        <v>5</v>
      </c>
      <c r="I64" s="169">
        <f>'ІІ. Розр. з бюджетом'!I9</f>
        <v>5</v>
      </c>
    </row>
    <row r="65" spans="1:9" ht="112.5">
      <c r="A65" s="8" t="s">
        <v>370</v>
      </c>
      <c r="B65" s="9">
        <v>3500</v>
      </c>
      <c r="C65" s="169">
        <f>'ІІ. Розр. з бюджетом'!C10</f>
        <v>0</v>
      </c>
      <c r="D65" s="169">
        <f>'ІІ. Розр. з бюджетом'!D10</f>
        <v>23</v>
      </c>
      <c r="E65" s="169">
        <f>'ІІ. Розр. з бюджетом'!E10</f>
        <v>11</v>
      </c>
      <c r="F65" s="169">
        <f>'ІІ. Розр. з бюджетом'!F21</f>
        <v>2</v>
      </c>
      <c r="G65" s="169">
        <f>'ІІ. Розр. з бюджетом'!G10</f>
        <v>10</v>
      </c>
      <c r="H65" s="169">
        <f>'ІІ. Розр. з бюджетом'!H10</f>
        <v>16</v>
      </c>
      <c r="I65" s="169">
        <f>'ІІ. Розр. з бюджетом'!I10</f>
        <v>18</v>
      </c>
    </row>
    <row r="66" spans="1:9" ht="37.5">
      <c r="A66" s="8" t="s">
        <v>103</v>
      </c>
      <c r="B66" s="9"/>
      <c r="C66" s="168"/>
      <c r="D66" s="168"/>
      <c r="E66" s="168"/>
      <c r="F66" s="168"/>
      <c r="G66" s="168"/>
      <c r="H66" s="168"/>
      <c r="I66" s="168"/>
    </row>
    <row r="67" spans="1:9" ht="20.100000000000001" customHeight="1">
      <c r="A67" s="8" t="s">
        <v>99</v>
      </c>
      <c r="B67" s="6">
        <v>3510</v>
      </c>
      <c r="C67" s="168"/>
      <c r="D67" s="168"/>
      <c r="E67" s="168"/>
      <c r="F67" s="168"/>
      <c r="G67" s="168"/>
      <c r="H67" s="168"/>
      <c r="I67" s="168"/>
    </row>
    <row r="68" spans="1:9" ht="20.100000000000001" customHeight="1">
      <c r="A68" s="8" t="s">
        <v>104</v>
      </c>
      <c r="B68" s="6">
        <v>3520</v>
      </c>
      <c r="C68" s="168"/>
      <c r="D68" s="168"/>
      <c r="E68" s="168"/>
      <c r="F68" s="168"/>
      <c r="G68" s="168"/>
      <c r="H68" s="168"/>
      <c r="I68" s="168"/>
    </row>
    <row r="69" spans="1:9" ht="20.100000000000001" customHeight="1">
      <c r="A69" s="8" t="s">
        <v>135</v>
      </c>
      <c r="B69" s="6">
        <v>3530</v>
      </c>
      <c r="C69" s="168"/>
      <c r="D69" s="168"/>
      <c r="E69" s="168"/>
      <c r="F69" s="168"/>
      <c r="G69" s="168"/>
      <c r="H69" s="168"/>
      <c r="I69" s="168"/>
    </row>
    <row r="70" spans="1:9" ht="37.5">
      <c r="A70" s="8" t="s">
        <v>101</v>
      </c>
      <c r="B70" s="9"/>
      <c r="C70" s="168"/>
      <c r="D70" s="168"/>
      <c r="E70" s="168"/>
      <c r="F70" s="168"/>
      <c r="G70" s="168"/>
      <c r="H70" s="168"/>
      <c r="I70" s="168"/>
    </row>
    <row r="71" spans="1:9" ht="20.100000000000001" customHeight="1">
      <c r="A71" s="8" t="s">
        <v>99</v>
      </c>
      <c r="B71" s="6">
        <v>3540</v>
      </c>
      <c r="C71" s="168"/>
      <c r="D71" s="168"/>
      <c r="E71" s="168"/>
      <c r="F71" s="168"/>
      <c r="G71" s="168"/>
      <c r="H71" s="168"/>
      <c r="I71" s="168"/>
    </row>
    <row r="72" spans="1:9" ht="20.100000000000001" customHeight="1">
      <c r="A72" s="8" t="s">
        <v>104</v>
      </c>
      <c r="B72" s="6">
        <v>3550</v>
      </c>
      <c r="C72" s="168"/>
      <c r="D72" s="168"/>
      <c r="E72" s="168"/>
      <c r="F72" s="168"/>
      <c r="G72" s="168"/>
      <c r="H72" s="168"/>
      <c r="I72" s="168"/>
    </row>
    <row r="73" spans="1:9" ht="20.100000000000001" customHeight="1">
      <c r="A73" s="8" t="s">
        <v>135</v>
      </c>
      <c r="B73" s="6">
        <v>3560</v>
      </c>
      <c r="C73" s="168"/>
      <c r="D73" s="168"/>
      <c r="E73" s="168"/>
      <c r="F73" s="168"/>
      <c r="G73" s="168"/>
      <c r="H73" s="168"/>
      <c r="I73" s="168"/>
    </row>
    <row r="74" spans="1:9" ht="20.100000000000001" customHeight="1">
      <c r="A74" s="8" t="s">
        <v>126</v>
      </c>
      <c r="B74" s="6">
        <v>3570</v>
      </c>
      <c r="C74" s="168"/>
      <c r="D74" s="168"/>
      <c r="E74" s="168"/>
      <c r="F74" s="168"/>
      <c r="G74" s="168"/>
      <c r="H74" s="168"/>
      <c r="I74" s="168"/>
    </row>
    <row r="75" spans="1:9" ht="37.5">
      <c r="A75" s="58" t="s">
        <v>174</v>
      </c>
      <c r="B75" s="91">
        <v>3580</v>
      </c>
      <c r="C75" s="170">
        <f>(C49+C50+C52+C53+C54+C56+C57+C58+C59+C61)-(C64+C65+C67+C68+C69+C71+C72+C73+C74)</f>
        <v>356</v>
      </c>
      <c r="D75" s="170">
        <f t="shared" ref="D75:I75" si="11">(D50+D52+D53+D54+D56+D57+D58+D59+D61)-(D64+D65+D67+D68+D69+D71+D72+D73+D74)</f>
        <v>-10</v>
      </c>
      <c r="E75" s="170">
        <f t="shared" si="11"/>
        <v>6</v>
      </c>
      <c r="F75" s="170">
        <f t="shared" si="11"/>
        <v>-3</v>
      </c>
      <c r="G75" s="170">
        <f t="shared" si="11"/>
        <v>787</v>
      </c>
      <c r="H75" s="170">
        <f t="shared" si="11"/>
        <v>779</v>
      </c>
      <c r="I75" s="170">
        <f t="shared" si="11"/>
        <v>777</v>
      </c>
    </row>
    <row r="76" spans="1:9" s="15" customFormat="1" ht="20.100000000000001" customHeight="1">
      <c r="A76" s="8" t="s">
        <v>34</v>
      </c>
      <c r="B76" s="6"/>
      <c r="C76" s="172"/>
      <c r="D76" s="172"/>
      <c r="E76" s="172"/>
      <c r="F76" s="172"/>
      <c r="G76" s="172"/>
      <c r="H76" s="172"/>
      <c r="I76" s="172"/>
    </row>
    <row r="77" spans="1:9" s="15" customFormat="1" ht="20.100000000000001" customHeight="1">
      <c r="A77" s="10" t="s">
        <v>35</v>
      </c>
      <c r="B77" s="6">
        <v>3600</v>
      </c>
      <c r="C77" s="168">
        <v>821</v>
      </c>
      <c r="D77" s="168">
        <v>332</v>
      </c>
      <c r="E77" s="231">
        <f>C79</f>
        <v>343</v>
      </c>
      <c r="F77" s="169">
        <f>E79</f>
        <v>647</v>
      </c>
      <c r="G77" s="169">
        <f>E79</f>
        <v>647</v>
      </c>
      <c r="H77" s="169">
        <f>E79</f>
        <v>647</v>
      </c>
      <c r="I77" s="169">
        <f>E79</f>
        <v>647</v>
      </c>
    </row>
    <row r="78" spans="1:9" s="15" customFormat="1" ht="37.5">
      <c r="A78" s="72" t="s">
        <v>183</v>
      </c>
      <c r="B78" s="6">
        <v>3610</v>
      </c>
      <c r="C78" s="168"/>
      <c r="D78" s="168"/>
      <c r="E78" s="168"/>
      <c r="F78" s="168"/>
      <c r="G78" s="168"/>
      <c r="H78" s="168"/>
      <c r="I78" s="168"/>
    </row>
    <row r="79" spans="1:9" s="15" customFormat="1" ht="20.100000000000001" customHeight="1">
      <c r="A79" s="10" t="s">
        <v>58</v>
      </c>
      <c r="B79" s="6">
        <v>3620</v>
      </c>
      <c r="C79" s="170">
        <f t="shared" ref="C79:I79" si="12">C77+C27+C47+C75</f>
        <v>343</v>
      </c>
      <c r="D79" s="170">
        <f t="shared" si="12"/>
        <v>487</v>
      </c>
      <c r="E79" s="170">
        <f t="shared" si="12"/>
        <v>647</v>
      </c>
      <c r="F79" s="170">
        <f t="shared" si="12"/>
        <v>648</v>
      </c>
      <c r="G79" s="170">
        <f t="shared" si="12"/>
        <v>695</v>
      </c>
      <c r="H79" s="170">
        <f t="shared" si="12"/>
        <v>753</v>
      </c>
      <c r="I79" s="170">
        <f t="shared" si="12"/>
        <v>799</v>
      </c>
    </row>
    <row r="80" spans="1:9" s="15" customFormat="1" ht="20.100000000000001" customHeight="1">
      <c r="A80" s="10" t="s">
        <v>36</v>
      </c>
      <c r="B80" s="6">
        <v>3630</v>
      </c>
      <c r="C80" s="170">
        <f>C79-C77</f>
        <v>-478</v>
      </c>
      <c r="D80" s="170">
        <f t="shared" ref="D80:I80" si="13">D79-D77</f>
        <v>155</v>
      </c>
      <c r="E80" s="170">
        <f t="shared" si="13"/>
        <v>304</v>
      </c>
      <c r="F80" s="170">
        <f t="shared" si="13"/>
        <v>1</v>
      </c>
      <c r="G80" s="170">
        <f t="shared" si="13"/>
        <v>48</v>
      </c>
      <c r="H80" s="170">
        <f t="shared" si="13"/>
        <v>106</v>
      </c>
      <c r="I80" s="170">
        <f t="shared" si="13"/>
        <v>152</v>
      </c>
    </row>
    <row r="81" spans="1:9" s="15" customFormat="1" ht="20.100000000000001" customHeight="1">
      <c r="A81" s="139"/>
      <c r="B81" s="147"/>
      <c r="H81" s="149"/>
      <c r="I81" s="149"/>
    </row>
    <row r="82" spans="1:9" s="15" customFormat="1" ht="20.100000000000001" customHeight="1">
      <c r="A82" s="139"/>
      <c r="B82" s="147"/>
      <c r="H82" s="149"/>
      <c r="I82" s="149"/>
    </row>
    <row r="83" spans="1:9" s="15" customFormat="1" ht="20.100000000000001" customHeight="1">
      <c r="A83" s="139"/>
      <c r="B83" s="147"/>
      <c r="C83" s="148"/>
      <c r="D83" s="149"/>
      <c r="E83" s="149"/>
      <c r="F83" s="149"/>
      <c r="G83" s="149"/>
      <c r="H83" s="149"/>
      <c r="I83" s="149"/>
    </row>
    <row r="84" spans="1:9" s="2" customFormat="1">
      <c r="A84" s="173" t="s">
        <v>400</v>
      </c>
      <c r="B84" s="132"/>
      <c r="C84" s="392" t="s">
        <v>119</v>
      </c>
      <c r="D84" s="393"/>
      <c r="E84" s="393"/>
      <c r="F84" s="133"/>
      <c r="G84" s="386" t="s">
        <v>399</v>
      </c>
      <c r="H84" s="386"/>
      <c r="I84" s="386"/>
    </row>
    <row r="85" spans="1:9" ht="20.100000000000001" customHeight="1">
      <c r="A85" s="95" t="s">
        <v>379</v>
      </c>
      <c r="B85" s="108"/>
      <c r="C85" s="376" t="s">
        <v>84</v>
      </c>
      <c r="D85" s="376"/>
      <c r="E85" s="376"/>
      <c r="F85" s="134"/>
      <c r="G85" s="377" t="s">
        <v>464</v>
      </c>
      <c r="H85" s="377"/>
      <c r="I85" s="377"/>
    </row>
    <row r="86" spans="1:9">
      <c r="C86" s="4"/>
    </row>
    <row r="87" spans="1:9">
      <c r="C87" s="148"/>
      <c r="D87" s="149"/>
      <c r="E87" s="149"/>
      <c r="F87" s="149"/>
      <c r="G87" s="149"/>
    </row>
    <row r="88" spans="1:9">
      <c r="C88" s="148"/>
      <c r="D88" s="149"/>
      <c r="E88" s="149"/>
      <c r="F88" s="149"/>
      <c r="G88" s="149"/>
    </row>
    <row r="89" spans="1:9">
      <c r="C89" s="4"/>
    </row>
    <row r="90" spans="1:9">
      <c r="C90" s="4"/>
    </row>
    <row r="91" spans="1:9">
      <c r="C91" s="4"/>
    </row>
    <row r="92" spans="1:9">
      <c r="C92" s="4"/>
    </row>
    <row r="93" spans="1:9">
      <c r="C93" s="4"/>
    </row>
    <row r="94" spans="1:9">
      <c r="C94" s="4"/>
    </row>
    <row r="95" spans="1:9">
      <c r="C95" s="4"/>
    </row>
    <row r="96" spans="1:9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  <row r="108" spans="3:3">
      <c r="C108" s="4"/>
    </row>
    <row r="109" spans="3:3">
      <c r="C109" s="4"/>
    </row>
    <row r="110" spans="3:3">
      <c r="C110" s="4"/>
    </row>
    <row r="111" spans="3:3">
      <c r="C111" s="4"/>
    </row>
    <row r="112" spans="3:3">
      <c r="C112" s="4"/>
    </row>
    <row r="113" spans="3:3">
      <c r="C113" s="4"/>
    </row>
    <row r="114" spans="3:3">
      <c r="C114" s="4"/>
    </row>
    <row r="115" spans="3:3">
      <c r="C115" s="4"/>
    </row>
    <row r="116" spans="3:3">
      <c r="C116" s="4"/>
    </row>
  </sheetData>
  <sheetProtection formatCells="0" formatColumns="0" formatRows="0" insertColumns="0" insertRows="0" insertHyperlinks="0" deleteColumns="0" deleteRows="0" sort="0" autoFilter="0" pivotTables="0"/>
  <customSheetViews>
    <customSheetView guid="{4BF2F851-A775-4F33-8DA4-C59D9D94DA9D}" scale="80" showPageBreaks="1" printArea="1" view="pageBreakPreview" topLeftCell="A67">
      <selection activeCell="E83" sqref="E83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  <customSheetView guid="{43DCEB14-ADF8-4168-9283-6542A71D3CF7}" scale="75" showPageBreaks="1" printArea="1" view="pageBreakPreview">
      <selection activeCell="I61" sqref="I61"/>
      <pageMargins left="0.78740157480314965" right="0.39370078740157483" top="0.59055118110236227" bottom="0.59055118110236227" header="0.19685039370078741" footer="0.23622047244094491"/>
      <pageSetup paperSize="9" scale="50" orientation="portrait" r:id="rId3"/>
      <headerFooter alignWithMargins="0"/>
    </customSheetView>
  </customSheetViews>
  <mergeCells count="14">
    <mergeCell ref="A1:I1"/>
    <mergeCell ref="A3:A4"/>
    <mergeCell ref="B3:B4"/>
    <mergeCell ref="C3:C4"/>
    <mergeCell ref="D3:D4"/>
    <mergeCell ref="E3:E4"/>
    <mergeCell ref="F3:I3"/>
    <mergeCell ref="C85:E85"/>
    <mergeCell ref="G85:I85"/>
    <mergeCell ref="A28:I28"/>
    <mergeCell ref="A6:I6"/>
    <mergeCell ref="A48:I48"/>
    <mergeCell ref="C84:E84"/>
    <mergeCell ref="G84:I84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82"/>
  <sheetViews>
    <sheetView view="pageBreakPreview" zoomScale="80" zoomScaleNormal="75" zoomScaleSheetLayoutView="80" workbookViewId="0">
      <selection activeCell="I9" sqref="I9"/>
    </sheetView>
  </sheetViews>
  <sheetFormatPr defaultColWidth="9.140625" defaultRowHeight="18.75"/>
  <cols>
    <col min="1" max="1" width="45" style="2" customWidth="1"/>
    <col min="2" max="2" width="11.7109375" style="25" customWidth="1"/>
    <col min="3" max="4" width="16" style="25" customWidth="1"/>
    <col min="5" max="5" width="15.28515625" style="25" customWidth="1"/>
    <col min="6" max="7" width="16.28515625" style="2" customWidth="1"/>
    <col min="8" max="8" width="15.85546875" style="2" customWidth="1"/>
    <col min="9" max="9" width="15.28515625" style="2" customWidth="1"/>
    <col min="10" max="10" width="9.85546875" style="2" customWidth="1"/>
    <col min="11" max="16384" width="9.140625" style="2"/>
  </cols>
  <sheetData>
    <row r="1" spans="1:15">
      <c r="A1" s="398" t="s">
        <v>228</v>
      </c>
      <c r="B1" s="398"/>
      <c r="C1" s="398"/>
      <c r="D1" s="398"/>
      <c r="E1" s="398"/>
      <c r="F1" s="398"/>
      <c r="G1" s="398"/>
      <c r="H1" s="398"/>
      <c r="I1" s="398"/>
    </row>
    <row r="2" spans="1:15">
      <c r="A2" s="402"/>
      <c r="B2" s="402"/>
      <c r="C2" s="402"/>
      <c r="D2" s="402"/>
      <c r="E2" s="402"/>
      <c r="F2" s="402"/>
      <c r="G2" s="402"/>
      <c r="H2" s="402"/>
      <c r="I2" s="402"/>
    </row>
    <row r="3" spans="1:15" ht="43.5" customHeight="1">
      <c r="A3" s="382" t="s">
        <v>271</v>
      </c>
      <c r="B3" s="378" t="s">
        <v>18</v>
      </c>
      <c r="C3" s="383" t="s">
        <v>31</v>
      </c>
      <c r="D3" s="383" t="s">
        <v>39</v>
      </c>
      <c r="E3" s="397" t="s">
        <v>180</v>
      </c>
      <c r="F3" s="378" t="s">
        <v>363</v>
      </c>
      <c r="G3" s="378"/>
      <c r="H3" s="378"/>
      <c r="I3" s="378"/>
    </row>
    <row r="4" spans="1:15" ht="56.25" customHeight="1">
      <c r="A4" s="382"/>
      <c r="B4" s="378"/>
      <c r="C4" s="383"/>
      <c r="D4" s="383"/>
      <c r="E4" s="397"/>
      <c r="F4" s="13" t="s">
        <v>372</v>
      </c>
      <c r="G4" s="13" t="s">
        <v>365</v>
      </c>
      <c r="H4" s="13" t="s">
        <v>366</v>
      </c>
      <c r="I4" s="13" t="s">
        <v>86</v>
      </c>
    </row>
    <row r="5" spans="1:15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5" s="5" customFormat="1" ht="42.75" customHeight="1">
      <c r="A6" s="8" t="s">
        <v>88</v>
      </c>
      <c r="B6" s="75">
        <v>4000</v>
      </c>
      <c r="C6" s="93">
        <f t="shared" ref="C6:I6" si="0">SUM(C7:C11)</f>
        <v>1056</v>
      </c>
      <c r="D6" s="93">
        <f>D8</f>
        <v>179</v>
      </c>
      <c r="E6" s="93">
        <f t="shared" si="0"/>
        <v>145</v>
      </c>
      <c r="F6" s="169">
        <f t="shared" si="0"/>
        <v>37</v>
      </c>
      <c r="G6" s="169">
        <f t="shared" si="0"/>
        <v>803</v>
      </c>
      <c r="H6" s="169">
        <f t="shared" si="0"/>
        <v>826</v>
      </c>
      <c r="I6" s="169">
        <f t="shared" si="0"/>
        <v>826</v>
      </c>
    </row>
    <row r="7" spans="1:15" ht="20.100000000000001" customHeight="1">
      <c r="A7" s="8" t="s">
        <v>1</v>
      </c>
      <c r="B7" s="76" t="s">
        <v>238</v>
      </c>
      <c r="C7" s="107"/>
      <c r="D7" s="107"/>
      <c r="E7" s="107"/>
      <c r="F7" s="168"/>
      <c r="G7" s="168"/>
      <c r="H7" s="168"/>
      <c r="I7" s="168"/>
    </row>
    <row r="8" spans="1:15" ht="37.5">
      <c r="A8" s="8" t="s">
        <v>2</v>
      </c>
      <c r="B8" s="75">
        <v>4020</v>
      </c>
      <c r="C8" s="107">
        <v>1056</v>
      </c>
      <c r="D8" s="107">
        <v>179</v>
      </c>
      <c r="E8" s="253">
        <v>145</v>
      </c>
      <c r="F8" s="224">
        <f>'6.2. Інша інфо_2'!W32</f>
        <v>37</v>
      </c>
      <c r="G8" s="224">
        <f>'6.2. Інша інфо_2'!X32</f>
        <v>803</v>
      </c>
      <c r="H8" s="224">
        <f>'6.2. Інша інфо_2'!Y32</f>
        <v>826</v>
      </c>
      <c r="I8" s="224">
        <f>'6.2. Інша інфо_2'!Z32</f>
        <v>826</v>
      </c>
      <c r="O8" s="21"/>
    </row>
    <row r="9" spans="1:15" ht="37.5">
      <c r="A9" s="8" t="s">
        <v>30</v>
      </c>
      <c r="B9" s="76">
        <v>4030</v>
      </c>
      <c r="C9" s="107"/>
      <c r="D9" s="107"/>
      <c r="E9" s="253"/>
      <c r="F9" s="168"/>
      <c r="G9" s="168"/>
      <c r="H9" s="168"/>
      <c r="I9" s="168"/>
      <c r="N9" s="21"/>
    </row>
    <row r="10" spans="1:15" ht="37.5">
      <c r="A10" s="8" t="s">
        <v>3</v>
      </c>
      <c r="B10" s="75">
        <v>4040</v>
      </c>
      <c r="C10" s="107"/>
      <c r="D10" s="107"/>
      <c r="E10" s="253"/>
      <c r="F10" s="168"/>
      <c r="G10" s="168"/>
      <c r="H10" s="168"/>
      <c r="I10" s="168"/>
    </row>
    <row r="11" spans="1:15" ht="56.25">
      <c r="A11" s="8" t="s">
        <v>74</v>
      </c>
      <c r="B11" s="76">
        <v>4050</v>
      </c>
      <c r="C11" s="253"/>
      <c r="D11" s="224"/>
      <c r="E11" s="224"/>
      <c r="F11" s="224"/>
      <c r="G11" s="224"/>
      <c r="H11" s="224"/>
      <c r="I11" s="224"/>
    </row>
    <row r="12" spans="1:15" ht="20.100000000000001" customHeight="1">
      <c r="A12" s="108"/>
      <c r="B12" s="108"/>
      <c r="C12" s="108"/>
      <c r="D12" s="108"/>
      <c r="E12" s="108"/>
      <c r="F12" s="150"/>
      <c r="G12" s="150"/>
      <c r="H12" s="150"/>
      <c r="I12" s="150"/>
    </row>
    <row r="13" spans="1:15" ht="20.100000000000001" customHeight="1">
      <c r="A13" s="108"/>
      <c r="B13" s="108"/>
      <c r="C13" s="108"/>
      <c r="D13" s="108"/>
      <c r="E13" s="108"/>
      <c r="F13" s="150"/>
      <c r="G13" s="150"/>
      <c r="H13" s="150"/>
      <c r="I13" s="150"/>
    </row>
    <row r="14" spans="1:15" s="1" customFormat="1">
      <c r="A14" s="128"/>
      <c r="B14" s="139"/>
      <c r="C14" s="108"/>
      <c r="D14" s="108"/>
      <c r="E14" s="108"/>
      <c r="F14" s="108"/>
      <c r="G14" s="108"/>
      <c r="H14" s="108"/>
      <c r="I14" s="108"/>
    </row>
    <row r="15" spans="1:15" s="5" customFormat="1" ht="19.5">
      <c r="A15" s="173" t="s">
        <v>402</v>
      </c>
      <c r="B15" s="147"/>
      <c r="C15" s="384" t="s">
        <v>119</v>
      </c>
      <c r="D15" s="385"/>
      <c r="E15" s="385"/>
      <c r="F15" s="178"/>
      <c r="G15" s="386" t="s">
        <v>399</v>
      </c>
      <c r="H15" s="386"/>
      <c r="I15" s="386"/>
    </row>
    <row r="16" spans="1:15" s="1" customFormat="1" ht="20.100000000000001" customHeight="1">
      <c r="A16" s="109" t="s">
        <v>83</v>
      </c>
      <c r="B16" s="108"/>
      <c r="C16" s="376" t="s">
        <v>84</v>
      </c>
      <c r="D16" s="376"/>
      <c r="E16" s="376"/>
      <c r="F16" s="134"/>
      <c r="G16" s="377" t="s">
        <v>438</v>
      </c>
      <c r="H16" s="377"/>
      <c r="I16" s="377"/>
    </row>
    <row r="17" spans="1:9">
      <c r="A17" s="151"/>
      <c r="B17" s="109"/>
      <c r="C17" s="109"/>
      <c r="D17" s="109"/>
      <c r="E17" s="109"/>
      <c r="F17" s="108"/>
      <c r="G17" s="108"/>
      <c r="H17" s="108"/>
      <c r="I17" s="108"/>
    </row>
    <row r="18" spans="1:9">
      <c r="A18" s="151"/>
      <c r="B18" s="109"/>
      <c r="C18" s="109"/>
      <c r="D18" s="109"/>
      <c r="E18" s="109"/>
      <c r="F18" s="108"/>
      <c r="G18" s="108"/>
      <c r="H18" s="108"/>
      <c r="I18" s="108"/>
    </row>
    <row r="19" spans="1:9">
      <c r="A19" s="50"/>
      <c r="F19" s="258">
        <f>'ІІІ. Рух грош. коштів'!F39/1.2</f>
        <v>30.833333333333336</v>
      </c>
      <c r="G19" s="258">
        <f>'ІІІ. Рух грош. коштів'!G39/1.2</f>
        <v>780</v>
      </c>
      <c r="H19" s="258">
        <f>'ІІІ. Рух грош. коштів'!H39/1.2</f>
        <v>799.16666666666674</v>
      </c>
      <c r="I19" s="258">
        <f>'ІІІ. Рух грош. коштів'!I39/1.2</f>
        <v>799.16666666666674</v>
      </c>
    </row>
    <row r="20" spans="1:9">
      <c r="A20" s="50"/>
      <c r="F20" s="2">
        <f>'ІІІ. Рух грош. коштів'!F45/1.2</f>
        <v>0</v>
      </c>
      <c r="G20" s="256">
        <f>'ІІІ. Рух грош. коштів'!G45/1.2</f>
        <v>0</v>
      </c>
      <c r="H20" s="258">
        <f>'ІІІ. Рух грош. коштів'!H45/1.2</f>
        <v>0</v>
      </c>
      <c r="I20" s="256">
        <f>'ІІІ. Рух грош. коштів'!I45/1.2</f>
        <v>0</v>
      </c>
    </row>
    <row r="21" spans="1:9">
      <c r="A21" s="50"/>
    </row>
    <row r="22" spans="1:9">
      <c r="A22" s="50"/>
      <c r="F22" s="2">
        <f>'ІІІ. Рух грош. коштів'!F60/1.2</f>
        <v>0</v>
      </c>
      <c r="G22" s="256">
        <f>'ІІІ. Рух грош. коштів'!G60/1.2</f>
        <v>666.66666666666674</v>
      </c>
      <c r="H22" s="258">
        <f>'ІІІ. Рух грош. коштів'!H60/1.2</f>
        <v>666.66666666666674</v>
      </c>
      <c r="I22" s="258">
        <f>'ІІІ. Рух грош. коштів'!I60/1.2</f>
        <v>666.66666666666674</v>
      </c>
    </row>
    <row r="23" spans="1:9">
      <c r="A23" s="50"/>
    </row>
    <row r="24" spans="1:9">
      <c r="A24" s="50"/>
    </row>
    <row r="25" spans="1:9">
      <c r="A25" s="50"/>
    </row>
    <row r="26" spans="1:9">
      <c r="A26" s="50"/>
    </row>
    <row r="27" spans="1:9">
      <c r="A27" s="50"/>
    </row>
    <row r="28" spans="1:9">
      <c r="A28" s="50"/>
    </row>
    <row r="29" spans="1:9">
      <c r="A29" s="50"/>
    </row>
    <row r="30" spans="1:9">
      <c r="A30" s="50"/>
    </row>
    <row r="31" spans="1:9">
      <c r="A31" s="50"/>
    </row>
    <row r="32" spans="1:9">
      <c r="A32" s="50"/>
    </row>
    <row r="33" spans="1:1">
      <c r="A33" s="50"/>
    </row>
    <row r="34" spans="1:1">
      <c r="A34" s="50"/>
    </row>
    <row r="35" spans="1:1">
      <c r="A35" s="50"/>
    </row>
    <row r="36" spans="1:1">
      <c r="A36" s="50"/>
    </row>
    <row r="37" spans="1:1">
      <c r="A37" s="50"/>
    </row>
    <row r="38" spans="1:1">
      <c r="A38" s="50"/>
    </row>
    <row r="39" spans="1:1">
      <c r="A39" s="50"/>
    </row>
    <row r="40" spans="1:1">
      <c r="A40" s="50"/>
    </row>
    <row r="41" spans="1:1">
      <c r="A41" s="50"/>
    </row>
    <row r="42" spans="1:1">
      <c r="A42" s="50"/>
    </row>
    <row r="43" spans="1:1">
      <c r="A43" s="50"/>
    </row>
    <row r="44" spans="1:1">
      <c r="A44" s="50"/>
    </row>
    <row r="45" spans="1:1">
      <c r="A45" s="50"/>
    </row>
    <row r="46" spans="1:1">
      <c r="A46" s="50"/>
    </row>
    <row r="47" spans="1:1">
      <c r="A47" s="50"/>
    </row>
    <row r="48" spans="1:1">
      <c r="A48" s="50"/>
    </row>
    <row r="49" spans="1:1">
      <c r="A49" s="50"/>
    </row>
    <row r="50" spans="1:1">
      <c r="A50" s="50"/>
    </row>
    <row r="51" spans="1:1">
      <c r="A51" s="50"/>
    </row>
    <row r="52" spans="1:1">
      <c r="A52" s="50"/>
    </row>
    <row r="53" spans="1:1">
      <c r="A53" s="50"/>
    </row>
    <row r="54" spans="1:1">
      <c r="A54" s="50"/>
    </row>
    <row r="55" spans="1:1">
      <c r="A55" s="50"/>
    </row>
    <row r="56" spans="1:1">
      <c r="A56" s="50"/>
    </row>
    <row r="57" spans="1:1">
      <c r="A57" s="50"/>
    </row>
    <row r="58" spans="1:1">
      <c r="A58" s="50"/>
    </row>
    <row r="59" spans="1:1">
      <c r="A59" s="50"/>
    </row>
    <row r="60" spans="1:1">
      <c r="A60" s="50"/>
    </row>
    <row r="61" spans="1:1">
      <c r="A61" s="50"/>
    </row>
    <row r="62" spans="1:1">
      <c r="A62" s="50"/>
    </row>
    <row r="63" spans="1:1">
      <c r="A63" s="50"/>
    </row>
    <row r="64" spans="1:1">
      <c r="A64" s="50"/>
    </row>
    <row r="65" spans="1:1">
      <c r="A65" s="50"/>
    </row>
    <row r="66" spans="1:1">
      <c r="A66" s="50"/>
    </row>
    <row r="67" spans="1:1">
      <c r="A67" s="50"/>
    </row>
    <row r="68" spans="1:1">
      <c r="A68" s="50"/>
    </row>
    <row r="69" spans="1:1">
      <c r="A69" s="50"/>
    </row>
    <row r="70" spans="1:1">
      <c r="A70" s="50"/>
    </row>
    <row r="71" spans="1:1">
      <c r="A71" s="50"/>
    </row>
    <row r="72" spans="1:1">
      <c r="A72" s="50"/>
    </row>
    <row r="73" spans="1:1">
      <c r="A73" s="50"/>
    </row>
    <row r="74" spans="1:1">
      <c r="A74" s="50"/>
    </row>
    <row r="75" spans="1:1">
      <c r="A75" s="50"/>
    </row>
    <row r="76" spans="1:1">
      <c r="A76" s="50"/>
    </row>
    <row r="77" spans="1:1">
      <c r="A77" s="50"/>
    </row>
    <row r="78" spans="1:1">
      <c r="A78" s="50"/>
    </row>
    <row r="79" spans="1:1">
      <c r="A79" s="50"/>
    </row>
    <row r="80" spans="1:1">
      <c r="A80" s="50"/>
    </row>
    <row r="81" spans="1:1">
      <c r="A81" s="50"/>
    </row>
    <row r="82" spans="1:1">
      <c r="A82" s="50"/>
    </row>
    <row r="83" spans="1:1">
      <c r="A83" s="50"/>
    </row>
    <row r="84" spans="1:1">
      <c r="A84" s="50"/>
    </row>
    <row r="85" spans="1:1">
      <c r="A85" s="50"/>
    </row>
    <row r="86" spans="1:1">
      <c r="A86" s="50"/>
    </row>
    <row r="87" spans="1:1">
      <c r="A87" s="50"/>
    </row>
    <row r="88" spans="1:1">
      <c r="A88" s="50"/>
    </row>
    <row r="89" spans="1:1">
      <c r="A89" s="50"/>
    </row>
    <row r="90" spans="1:1">
      <c r="A90" s="50"/>
    </row>
    <row r="91" spans="1:1">
      <c r="A91" s="50"/>
    </row>
    <row r="92" spans="1:1">
      <c r="A92" s="50"/>
    </row>
    <row r="93" spans="1:1">
      <c r="A93" s="50"/>
    </row>
    <row r="94" spans="1:1">
      <c r="A94" s="50"/>
    </row>
    <row r="95" spans="1:1">
      <c r="A95" s="50"/>
    </row>
    <row r="96" spans="1:1">
      <c r="A96" s="50"/>
    </row>
    <row r="97" spans="1:1">
      <c r="A97" s="50"/>
    </row>
    <row r="98" spans="1:1">
      <c r="A98" s="50"/>
    </row>
    <row r="99" spans="1:1">
      <c r="A99" s="50"/>
    </row>
    <row r="100" spans="1:1">
      <c r="A100" s="50"/>
    </row>
    <row r="101" spans="1:1">
      <c r="A101" s="50"/>
    </row>
    <row r="102" spans="1:1">
      <c r="A102" s="50"/>
    </row>
    <row r="103" spans="1:1">
      <c r="A103" s="50"/>
    </row>
    <row r="104" spans="1:1">
      <c r="A104" s="50"/>
    </row>
    <row r="105" spans="1:1">
      <c r="A105" s="50"/>
    </row>
    <row r="106" spans="1:1">
      <c r="A106" s="50"/>
    </row>
    <row r="107" spans="1:1">
      <c r="A107" s="50"/>
    </row>
    <row r="108" spans="1:1">
      <c r="A108" s="50"/>
    </row>
    <row r="109" spans="1:1">
      <c r="A109" s="50"/>
    </row>
    <row r="110" spans="1:1">
      <c r="A110" s="50"/>
    </row>
    <row r="111" spans="1:1">
      <c r="A111" s="50"/>
    </row>
    <row r="112" spans="1:1">
      <c r="A112" s="50"/>
    </row>
    <row r="113" spans="1:1">
      <c r="A113" s="50"/>
    </row>
    <row r="114" spans="1:1">
      <c r="A114" s="50"/>
    </row>
    <row r="115" spans="1:1">
      <c r="A115" s="50"/>
    </row>
    <row r="116" spans="1:1">
      <c r="A116" s="50"/>
    </row>
    <row r="117" spans="1:1">
      <c r="A117" s="50"/>
    </row>
    <row r="118" spans="1:1">
      <c r="A118" s="50"/>
    </row>
    <row r="119" spans="1:1">
      <c r="A119" s="50"/>
    </row>
    <row r="120" spans="1:1">
      <c r="A120" s="50"/>
    </row>
    <row r="121" spans="1:1">
      <c r="A121" s="50"/>
    </row>
    <row r="122" spans="1:1">
      <c r="A122" s="50"/>
    </row>
    <row r="123" spans="1:1">
      <c r="A123" s="50"/>
    </row>
    <row r="124" spans="1:1">
      <c r="A124" s="50"/>
    </row>
    <row r="125" spans="1:1">
      <c r="A125" s="50"/>
    </row>
    <row r="126" spans="1:1">
      <c r="A126" s="50"/>
    </row>
    <row r="127" spans="1:1">
      <c r="A127" s="50"/>
    </row>
    <row r="128" spans="1:1">
      <c r="A128" s="50"/>
    </row>
    <row r="129" spans="1:1">
      <c r="A129" s="50"/>
    </row>
    <row r="130" spans="1:1">
      <c r="A130" s="50"/>
    </row>
    <row r="131" spans="1:1">
      <c r="A131" s="50"/>
    </row>
    <row r="132" spans="1:1">
      <c r="A132" s="50"/>
    </row>
    <row r="133" spans="1:1">
      <c r="A133" s="50"/>
    </row>
    <row r="134" spans="1:1">
      <c r="A134" s="50"/>
    </row>
    <row r="135" spans="1:1">
      <c r="A135" s="50"/>
    </row>
    <row r="136" spans="1:1">
      <c r="A136" s="50"/>
    </row>
    <row r="137" spans="1:1">
      <c r="A137" s="50"/>
    </row>
    <row r="138" spans="1:1">
      <c r="A138" s="50"/>
    </row>
    <row r="139" spans="1:1">
      <c r="A139" s="50"/>
    </row>
    <row r="140" spans="1:1">
      <c r="A140" s="50"/>
    </row>
    <row r="141" spans="1:1">
      <c r="A141" s="50"/>
    </row>
    <row r="142" spans="1:1">
      <c r="A142" s="50"/>
    </row>
    <row r="143" spans="1:1">
      <c r="A143" s="50"/>
    </row>
    <row r="144" spans="1:1">
      <c r="A144" s="50"/>
    </row>
    <row r="145" spans="1:1">
      <c r="A145" s="50"/>
    </row>
    <row r="146" spans="1:1">
      <c r="A146" s="50"/>
    </row>
    <row r="147" spans="1:1">
      <c r="A147" s="50"/>
    </row>
    <row r="148" spans="1:1">
      <c r="A148" s="50"/>
    </row>
    <row r="149" spans="1:1">
      <c r="A149" s="50"/>
    </row>
    <row r="150" spans="1:1">
      <c r="A150" s="50"/>
    </row>
    <row r="151" spans="1:1">
      <c r="A151" s="50"/>
    </row>
    <row r="152" spans="1:1">
      <c r="A152" s="50"/>
    </row>
    <row r="153" spans="1:1">
      <c r="A153" s="50"/>
    </row>
    <row r="154" spans="1:1">
      <c r="A154" s="50"/>
    </row>
    <row r="155" spans="1:1">
      <c r="A155" s="50"/>
    </row>
    <row r="156" spans="1:1">
      <c r="A156" s="50"/>
    </row>
    <row r="157" spans="1:1">
      <c r="A157" s="50"/>
    </row>
    <row r="158" spans="1:1">
      <c r="A158" s="50"/>
    </row>
    <row r="159" spans="1:1">
      <c r="A159" s="50"/>
    </row>
    <row r="160" spans="1:1">
      <c r="A160" s="50"/>
    </row>
    <row r="161" spans="1:1">
      <c r="A161" s="50"/>
    </row>
    <row r="162" spans="1:1">
      <c r="A162" s="50"/>
    </row>
    <row r="163" spans="1:1">
      <c r="A163" s="50"/>
    </row>
    <row r="164" spans="1:1">
      <c r="A164" s="50"/>
    </row>
    <row r="165" spans="1:1">
      <c r="A165" s="50"/>
    </row>
    <row r="166" spans="1:1">
      <c r="A166" s="50"/>
    </row>
    <row r="167" spans="1:1">
      <c r="A167" s="50"/>
    </row>
    <row r="168" spans="1:1">
      <c r="A168" s="50"/>
    </row>
    <row r="169" spans="1:1">
      <c r="A169" s="50"/>
    </row>
    <row r="170" spans="1:1">
      <c r="A170" s="50"/>
    </row>
    <row r="171" spans="1:1">
      <c r="A171" s="50"/>
    </row>
    <row r="172" spans="1:1">
      <c r="A172" s="50"/>
    </row>
    <row r="173" spans="1:1">
      <c r="A173" s="50"/>
    </row>
    <row r="174" spans="1:1">
      <c r="A174" s="50"/>
    </row>
    <row r="175" spans="1:1">
      <c r="A175" s="50"/>
    </row>
    <row r="176" spans="1:1">
      <c r="A176" s="50"/>
    </row>
    <row r="177" spans="1:1">
      <c r="A177" s="50"/>
    </row>
    <row r="178" spans="1:1">
      <c r="A178" s="50"/>
    </row>
    <row r="179" spans="1:1">
      <c r="A179" s="50"/>
    </row>
    <row r="180" spans="1:1">
      <c r="A180" s="50"/>
    </row>
    <row r="181" spans="1:1">
      <c r="A181" s="50"/>
    </row>
    <row r="182" spans="1:1">
      <c r="A182" s="50"/>
    </row>
  </sheetData>
  <sheetProtection formatCells="0" formatColumns="0" formatRows="0" insertColumns="0" insertRows="0" insertHyperlinks="0" deleteColumns="0" deleteRows="0" sort="0" autoFilter="0" pivotTables="0"/>
  <customSheetViews>
    <customSheetView guid="{4BF2F851-A775-4F33-8DA4-C59D9D94DA9D}" scale="80" showPageBreaks="1" printArea="1" view="pageBreakPreview">
      <selection activeCell="G8" sqref="G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  <customSheetView guid="{43DCEB14-ADF8-4168-9283-6542A71D3CF7}" scale="80" showPageBreaks="1" printArea="1" view="pageBreakPreview">
      <selection activeCell="I9" sqref="I9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3"/>
      <headerFooter alignWithMargins="0"/>
    </customSheetView>
  </customSheetViews>
  <mergeCells count="12">
    <mergeCell ref="C15:E15"/>
    <mergeCell ref="G15:I15"/>
    <mergeCell ref="C16:E16"/>
    <mergeCell ref="G16:I16"/>
    <mergeCell ref="A3:A4"/>
    <mergeCell ref="A1:I1"/>
    <mergeCell ref="B3:B4"/>
    <mergeCell ref="C3:C4"/>
    <mergeCell ref="D3:D4"/>
    <mergeCell ref="A2:I2"/>
    <mergeCell ref="F3:I3"/>
    <mergeCell ref="E3:E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4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="75" zoomScaleNormal="75" zoomScaleSheetLayoutView="75" workbookViewId="0">
      <pane ySplit="5" topLeftCell="A9" activePane="bottomLeft" state="frozen"/>
      <selection pane="bottomLeft" activeCell="G7" sqref="G7"/>
    </sheetView>
  </sheetViews>
  <sheetFormatPr defaultColWidth="9.140625" defaultRowHeight="12.75"/>
  <cols>
    <col min="1" max="1" width="60.42578125" style="31" customWidth="1"/>
    <col min="2" max="2" width="11" style="31" customWidth="1"/>
    <col min="3" max="3" width="16" style="31" customWidth="1"/>
    <col min="4" max="4" width="18.28515625" style="31" customWidth="1"/>
    <col min="5" max="5" width="19.7109375" style="280" customWidth="1"/>
    <col min="6" max="6" width="18.5703125" style="31" customWidth="1"/>
    <col min="7" max="7" width="18.85546875" style="31" customWidth="1"/>
    <col min="8" max="8" width="37.42578125" style="31" customWidth="1"/>
    <col min="9" max="9" width="9.5703125" style="31" customWidth="1"/>
    <col min="10" max="16384" width="9.140625" style="31"/>
  </cols>
  <sheetData>
    <row r="1" spans="1:8" ht="25.5" customHeight="1">
      <c r="A1" s="403" t="s">
        <v>230</v>
      </c>
      <c r="B1" s="403"/>
      <c r="C1" s="403"/>
      <c r="D1" s="403"/>
      <c r="E1" s="403"/>
      <c r="F1" s="403"/>
      <c r="G1" s="403"/>
      <c r="H1" s="403"/>
    </row>
    <row r="2" spans="1:8" ht="16.5" customHeight="1"/>
    <row r="3" spans="1:8" ht="45" customHeight="1">
      <c r="A3" s="404" t="s">
        <v>271</v>
      </c>
      <c r="B3" s="404" t="s">
        <v>0</v>
      </c>
      <c r="C3" s="404" t="s">
        <v>110</v>
      </c>
      <c r="D3" s="404" t="s">
        <v>31</v>
      </c>
      <c r="E3" s="408" t="s">
        <v>111</v>
      </c>
      <c r="F3" s="410" t="s">
        <v>180</v>
      </c>
      <c r="G3" s="404" t="s">
        <v>112</v>
      </c>
      <c r="H3" s="404" t="s">
        <v>113</v>
      </c>
    </row>
    <row r="4" spans="1:8" ht="52.5" customHeight="1">
      <c r="A4" s="405"/>
      <c r="B4" s="405"/>
      <c r="C4" s="405"/>
      <c r="D4" s="405"/>
      <c r="E4" s="409"/>
      <c r="F4" s="411"/>
      <c r="G4" s="405"/>
      <c r="H4" s="405"/>
    </row>
    <row r="5" spans="1:8" s="63" customFormat="1" ht="18" customHeight="1">
      <c r="A5" s="40">
        <v>1</v>
      </c>
      <c r="B5" s="40">
        <v>2</v>
      </c>
      <c r="C5" s="40">
        <v>3</v>
      </c>
      <c r="D5" s="40">
        <v>4</v>
      </c>
      <c r="E5" s="277">
        <v>5</v>
      </c>
      <c r="F5" s="40">
        <v>6</v>
      </c>
      <c r="G5" s="40">
        <v>7</v>
      </c>
      <c r="H5" s="40">
        <v>8</v>
      </c>
    </row>
    <row r="6" spans="1:8" s="63" customFormat="1" ht="20.100000000000001" customHeight="1">
      <c r="A6" s="77" t="s">
        <v>202</v>
      </c>
      <c r="B6" s="62"/>
      <c r="C6" s="40"/>
      <c r="D6" s="40"/>
      <c r="E6" s="277"/>
      <c r="F6" s="40"/>
      <c r="G6" s="40"/>
      <c r="H6" s="40"/>
    </row>
    <row r="7" spans="1:8" ht="75">
      <c r="A7" s="8" t="s">
        <v>348</v>
      </c>
      <c r="B7" s="7">
        <v>5000</v>
      </c>
      <c r="C7" s="79" t="s">
        <v>336</v>
      </c>
      <c r="D7" s="94">
        <f>'Осн. фін. пок.'!C39*100/'Осн. фін. пок.'!C37</f>
        <v>-152.18880852683671</v>
      </c>
      <c r="E7" s="315">
        <f>F7</f>
        <v>-175.93557555660826</v>
      </c>
      <c r="F7" s="94">
        <f>'Осн. фін. пок.'!F39*100/'Осн. фін. пок.'!F37</f>
        <v>-175.93557555660826</v>
      </c>
      <c r="G7" s="94">
        <f>'Осн. фін. пок.'!E39*100/'Осн. фін. пок.'!E37</f>
        <v>-182.53658536585365</v>
      </c>
      <c r="H7" s="87"/>
    </row>
    <row r="8" spans="1:8" ht="63.95" customHeight="1">
      <c r="A8" s="8" t="s">
        <v>349</v>
      </c>
      <c r="B8" s="7">
        <v>5010</v>
      </c>
      <c r="C8" s="79" t="s">
        <v>336</v>
      </c>
      <c r="D8" s="94">
        <f>'Осн. фін. пок.'!C44*100/'Осн. фін. пок.'!C37</f>
        <v>12.866387514274837</v>
      </c>
      <c r="E8" s="315">
        <f t="shared" ref="E8:E19" si="0">F8</f>
        <v>4.0265277119848415</v>
      </c>
      <c r="F8" s="94">
        <f>'Осн. фін. пок.'!F44*100/'Осн. фін. пок.'!F37</f>
        <v>4.0265277119848415</v>
      </c>
      <c r="G8" s="94">
        <f>'Осн. фін. пок.'!E44*100/'Осн. фін. пок.'!E37</f>
        <v>1.2682926829268293</v>
      </c>
      <c r="H8" s="87"/>
    </row>
    <row r="9" spans="1:8" ht="56.25">
      <c r="A9" s="89" t="s">
        <v>355</v>
      </c>
      <c r="B9" s="7">
        <v>5020</v>
      </c>
      <c r="C9" s="79" t="s">
        <v>336</v>
      </c>
      <c r="D9" s="182">
        <f>'Осн. фін. пок.'!C50/'Осн. фін. пок.'!C76</f>
        <v>8.6339664908759975E-4</v>
      </c>
      <c r="E9" s="315">
        <f t="shared" si="0"/>
        <v>5.1595956753207155E-4</v>
      </c>
      <c r="F9" s="182">
        <f>'Осн. фін. пок.'!F50/'Осн. фін. пок.'!F76</f>
        <v>5.1595956753207155E-4</v>
      </c>
      <c r="G9" s="182">
        <f>'Осн. фін. пок.'!E50/'Осн. фін. пок.'!E76</f>
        <v>8.3574106354019912E-4</v>
      </c>
      <c r="H9" s="87" t="s">
        <v>337</v>
      </c>
    </row>
    <row r="10" spans="1:8" ht="56.25">
      <c r="A10" s="89" t="s">
        <v>356</v>
      </c>
      <c r="B10" s="7">
        <v>5030</v>
      </c>
      <c r="C10" s="79" t="s">
        <v>336</v>
      </c>
      <c r="D10" s="181">
        <f>'Осн. фін. пок.'!C50/'Осн. фін. пок.'!C82</f>
        <v>2.4198822759973839E-2</v>
      </c>
      <c r="E10" s="315">
        <f t="shared" si="0"/>
        <v>1.3871374527112233E-2</v>
      </c>
      <c r="F10" s="181">
        <f>'Осн. фін. пок.'!F50/'Осн. фін. пок.'!F82</f>
        <v>1.3871374527112233E-2</v>
      </c>
      <c r="G10" s="181">
        <f>'Осн. фін. пок.'!E50/'Осн. фін. пок.'!E82</f>
        <v>2.1902377972465581E-2</v>
      </c>
      <c r="H10" s="87"/>
    </row>
    <row r="11" spans="1:8" ht="75">
      <c r="A11" s="89" t="s">
        <v>357</v>
      </c>
      <c r="B11" s="7">
        <v>5040</v>
      </c>
      <c r="C11" s="79" t="s">
        <v>114</v>
      </c>
      <c r="D11" s="181">
        <f>'Осн. фін. пок.'!C50/'Осн. фін. пок.'!C37</f>
        <v>1.4084507042253521E-2</v>
      </c>
      <c r="E11" s="315">
        <f t="shared" si="0"/>
        <v>1.0421601136901942E-2</v>
      </c>
      <c r="F11" s="181">
        <f>'Осн. фін. пок.'!F50/'Осн. фін. пок.'!F37</f>
        <v>1.0421601136901942E-2</v>
      </c>
      <c r="G11" s="181">
        <f>'Осн. фін. пок.'!E50/'Осн. фін. пок.'!E37</f>
        <v>1.7073170731707318E-2</v>
      </c>
      <c r="H11" s="87" t="s">
        <v>338</v>
      </c>
    </row>
    <row r="12" spans="1:8" ht="20.100000000000001" customHeight="1">
      <c r="A12" s="77" t="s">
        <v>204</v>
      </c>
      <c r="B12" s="7"/>
      <c r="C12" s="80"/>
      <c r="D12" s="88"/>
      <c r="E12" s="315"/>
      <c r="F12" s="88"/>
      <c r="G12" s="88"/>
      <c r="H12" s="87"/>
    </row>
    <row r="13" spans="1:8" ht="63.95" customHeight="1">
      <c r="A13" s="78" t="s">
        <v>307</v>
      </c>
      <c r="B13" s="7">
        <v>5100</v>
      </c>
      <c r="C13" s="79"/>
      <c r="D13" s="181">
        <f>('Осн. фін. пок.'!C77+'Осн. фін. пок.'!C78)/'Осн. фін. пок.'!C44</f>
        <v>122.26331360946746</v>
      </c>
      <c r="E13" s="331">
        <f t="shared" si="0"/>
        <v>482.97647058823532</v>
      </c>
      <c r="F13" s="181">
        <f>('Осн. фін. пок.'!F77+'Осн. фін. пок.'!F78)/'Осн. фін. пок.'!F44</f>
        <v>482.97647058823532</v>
      </c>
      <c r="G13" s="181">
        <f>('Осн. фін. пок.'!E77+'Осн. фін. пок.'!E78)/'Осн. фін. пок.'!E44</f>
        <v>1549.2692307692307</v>
      </c>
      <c r="H13" s="87"/>
    </row>
    <row r="14" spans="1:8" s="63" customFormat="1" ht="75">
      <c r="A14" s="78" t="s">
        <v>308</v>
      </c>
      <c r="B14" s="7">
        <v>5110</v>
      </c>
      <c r="C14" s="79" t="s">
        <v>189</v>
      </c>
      <c r="D14" s="181">
        <f>'Осн. фін. пок.'!C82/('Осн. фін. пок.'!C77+'Осн. фін. пок.'!C78)</f>
        <v>3.6999395039322445E-2</v>
      </c>
      <c r="E14" s="331">
        <f t="shared" si="0"/>
        <v>3.8632986627043092E-2</v>
      </c>
      <c r="F14" s="181">
        <f>'Осн. фін. пок.'!F82/('Осн. фін. пок.'!F77+'Осн. фін. пок.'!F78)</f>
        <v>3.8632986627043092E-2</v>
      </c>
      <c r="G14" s="181">
        <f>'Осн. фін. пок.'!E82/('Осн. фін. пок.'!E77+'Осн. фін. пок.'!E78)</f>
        <v>3.9671309053896375E-2</v>
      </c>
      <c r="H14" s="87" t="s">
        <v>339</v>
      </c>
    </row>
    <row r="15" spans="1:8" s="63" customFormat="1" ht="112.5">
      <c r="A15" s="78" t="s">
        <v>309</v>
      </c>
      <c r="B15" s="7">
        <v>5120</v>
      </c>
      <c r="C15" s="79" t="s">
        <v>189</v>
      </c>
      <c r="D15" s="181">
        <f>'Осн. фін. пок.'!C74/'Осн. фін. пок.'!C78</f>
        <v>4.0822746521476105E-2</v>
      </c>
      <c r="E15" s="331">
        <f t="shared" si="0"/>
        <v>5.2054661047913675E-2</v>
      </c>
      <c r="F15" s="181">
        <f>'Осн. фін. пок.'!F74/'Осн. фін. пок.'!F78</f>
        <v>5.2054661047913675E-2</v>
      </c>
      <c r="G15" s="181">
        <f>'Осн. фін. пок.'!E74/'Осн. фін. пок.'!E78</f>
        <v>2.1101760135051266E-2</v>
      </c>
      <c r="H15" s="87" t="s">
        <v>341</v>
      </c>
    </row>
    <row r="16" spans="1:8" ht="20.100000000000001" customHeight="1">
      <c r="A16" s="77" t="s">
        <v>203</v>
      </c>
      <c r="B16" s="7"/>
      <c r="C16" s="79"/>
      <c r="D16" s="88"/>
      <c r="E16" s="331"/>
      <c r="F16" s="88"/>
      <c r="G16" s="88"/>
      <c r="H16" s="87"/>
    </row>
    <row r="17" spans="1:10" ht="56.25">
      <c r="A17" s="78" t="s">
        <v>310</v>
      </c>
      <c r="B17" s="7">
        <v>5200</v>
      </c>
      <c r="C17" s="79"/>
      <c r="D17" s="181">
        <f>'Осн. фін. пок.'!C67/'I. Фін результат'!C102</f>
        <v>3.6040955631399316</v>
      </c>
      <c r="E17" s="331">
        <f t="shared" si="0"/>
        <v>0.48494983277591974</v>
      </c>
      <c r="F17" s="181">
        <f>'Осн. фін. пок.'!F67/'I. Фін результат'!E102</f>
        <v>0.48494983277591974</v>
      </c>
      <c r="G17" s="181">
        <f>'Осн. фін. пок.'!E67/'I. Фін результат'!I102</f>
        <v>2.7625418060200668</v>
      </c>
      <c r="H17" s="87"/>
    </row>
    <row r="18" spans="1:10" ht="75">
      <c r="A18" s="78" t="s">
        <v>311</v>
      </c>
      <c r="B18" s="7">
        <v>5210</v>
      </c>
      <c r="C18" s="79"/>
      <c r="D18" s="181">
        <f>'Осн. фін. пок.'!C67/'Осн. фін. пок.'!C37</f>
        <v>0.40197944423296533</v>
      </c>
      <c r="E18" s="331">
        <f t="shared" si="0"/>
        <v>6.8687825675035521E-2</v>
      </c>
      <c r="F18" s="181">
        <f>'Осн. фін. пок.'!F67/'Осн. фін. пок.'!F37</f>
        <v>6.8687825675035521E-2</v>
      </c>
      <c r="G18" s="181">
        <f>'Осн. фін. пок.'!E67/'Осн. фін. пок.'!E37</f>
        <v>0.40292682926829271</v>
      </c>
      <c r="H18" s="87"/>
    </row>
    <row r="19" spans="1:10" ht="63.95" customHeight="1">
      <c r="A19" s="78" t="s">
        <v>350</v>
      </c>
      <c r="B19" s="7">
        <v>5220</v>
      </c>
      <c r="C19" s="79" t="s">
        <v>336</v>
      </c>
      <c r="D19" s="252">
        <f>2471.2/5594.4</f>
        <v>0.44172744172744172</v>
      </c>
      <c r="E19" s="331">
        <f t="shared" si="0"/>
        <v>0.4826636930689619</v>
      </c>
      <c r="F19" s="252">
        <f>(2471.2+'I. Фін результат'!E102)/(5594.4+'IV. Кап. інвестиції'!E6)</f>
        <v>0.4826636930689619</v>
      </c>
      <c r="G19" s="252">
        <f>(2471.2+'I. Фін результат'!E102+'I. Фін результат'!I102)/((5594.4+'IV. Кап. інвестиції'!E6)+'IV. Кап. інвестиції'!I6)</f>
        <v>0.46748103695129012</v>
      </c>
      <c r="H19" s="87" t="s">
        <v>340</v>
      </c>
    </row>
    <row r="20" spans="1:10" ht="20.100000000000001" customHeight="1">
      <c r="A20" s="62" t="s">
        <v>289</v>
      </c>
      <c r="B20" s="7"/>
      <c r="C20" s="79"/>
      <c r="D20" s="88"/>
      <c r="E20" s="278"/>
      <c r="F20" s="88"/>
      <c r="G20" s="88"/>
      <c r="H20" s="87"/>
    </row>
    <row r="21" spans="1:10" ht="112.5">
      <c r="A21" s="89" t="s">
        <v>351</v>
      </c>
      <c r="B21" s="7">
        <v>5300</v>
      </c>
      <c r="C21" s="79"/>
      <c r="D21" s="152"/>
      <c r="E21" s="278"/>
      <c r="F21" s="152"/>
      <c r="G21" s="152"/>
      <c r="H21" s="153"/>
    </row>
    <row r="22" spans="1:10" ht="20.100000000000001" customHeight="1">
      <c r="A22" s="154"/>
      <c r="B22" s="154"/>
      <c r="C22" s="154"/>
      <c r="D22" s="154"/>
      <c r="E22" s="279"/>
      <c r="F22" s="154"/>
      <c r="G22" s="154"/>
      <c r="H22" s="154"/>
    </row>
    <row r="23" spans="1:10" ht="20.100000000000001" customHeight="1">
      <c r="A23" s="154"/>
      <c r="B23" s="154"/>
      <c r="C23" s="154"/>
      <c r="D23" s="154"/>
      <c r="E23" s="279"/>
      <c r="F23" s="154"/>
      <c r="G23" s="154"/>
      <c r="H23" s="154"/>
    </row>
    <row r="24" spans="1:10" ht="20.100000000000001" customHeight="1">
      <c r="A24" s="154"/>
      <c r="B24" s="154"/>
      <c r="C24" s="154"/>
      <c r="D24" s="154"/>
      <c r="E24" s="279"/>
      <c r="F24" s="154"/>
      <c r="G24" s="154"/>
      <c r="H24" s="154"/>
    </row>
    <row r="25" spans="1:10" s="185" customFormat="1" ht="24.75" customHeight="1">
      <c r="A25" s="183" t="s">
        <v>432</v>
      </c>
      <c r="B25" s="183"/>
      <c r="C25" s="184"/>
      <c r="D25" s="406" t="s">
        <v>119</v>
      </c>
      <c r="E25" s="407"/>
      <c r="F25" s="407"/>
      <c r="G25" s="407"/>
      <c r="H25" s="179" t="s">
        <v>399</v>
      </c>
    </row>
    <row r="26" spans="1:10" s="1" customFormat="1" ht="20.100000000000001" customHeight="1">
      <c r="A26" s="109" t="s">
        <v>414</v>
      </c>
      <c r="B26" s="155"/>
      <c r="C26" s="108"/>
      <c r="D26" s="376" t="s">
        <v>84</v>
      </c>
      <c r="E26" s="376"/>
      <c r="F26" s="376"/>
      <c r="G26" s="376"/>
      <c r="H26" s="139" t="s">
        <v>268</v>
      </c>
      <c r="I26" s="60"/>
      <c r="J26" s="60"/>
    </row>
    <row r="27" spans="1:10">
      <c r="A27" s="154"/>
      <c r="B27" s="154"/>
      <c r="C27" s="154"/>
      <c r="D27" s="154"/>
      <c r="E27" s="283"/>
      <c r="F27" s="154"/>
      <c r="G27" s="154"/>
      <c r="H27" s="154"/>
    </row>
    <row r="28" spans="1:10">
      <c r="A28" s="154"/>
      <c r="B28" s="154"/>
      <c r="C28" s="154"/>
      <c r="D28" s="154"/>
      <c r="E28" s="283"/>
      <c r="F28" s="154"/>
      <c r="G28" s="154"/>
      <c r="H28" s="154"/>
    </row>
    <row r="29" spans="1:10">
      <c r="A29" s="154"/>
      <c r="B29" s="154"/>
      <c r="C29" s="154"/>
      <c r="D29" s="154"/>
      <c r="E29" s="283"/>
      <c r="F29" s="154"/>
      <c r="G29" s="154"/>
      <c r="H29" s="154"/>
    </row>
    <row r="30" spans="1:10">
      <c r="A30" s="154"/>
      <c r="B30" s="154"/>
      <c r="C30" s="154"/>
      <c r="D30" s="154"/>
      <c r="E30" s="283"/>
      <c r="F30" s="154"/>
      <c r="G30" s="154"/>
      <c r="H30" s="154"/>
    </row>
    <row r="31" spans="1:10">
      <c r="A31" s="154"/>
      <c r="B31" s="154"/>
      <c r="C31" s="154"/>
      <c r="D31" s="154"/>
      <c r="E31" s="283"/>
      <c r="F31" s="154"/>
      <c r="G31" s="154"/>
      <c r="H31" s="154"/>
    </row>
  </sheetData>
  <sheetProtection formatCells="0" formatColumns="0" formatRows="0" insertColumns="0" insertRows="0" insertHyperlinks="0" deleteColumns="0" deleteRows="0" sort="0" autoFilter="0" pivotTables="0"/>
  <customSheetViews>
    <customSheetView guid="{4BF2F851-A775-4F33-8DA4-C59D9D94DA9D}" scale="75" showPageBreaks="1" printArea="1" view="pageBreakPreview">
      <pane ySplit="5" topLeftCell="A15" activePane="bottomLeft" state="frozen"/>
      <selection pane="bottomLeft" activeCell="E18" sqref="E18:E19"/>
      <pageMargins left="0.78740157480314965" right="0.39370078740157483" top="0.59055118110236227" bottom="0.59055118110236227" header="0.27559055118110237" footer="0.31496062992125984"/>
      <pageSetup paperSize="9" scale="45" orientation="portrait" r:id="rId1"/>
      <headerFooter alignWithMargins="0"/>
    </customSheetView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2"/>
      <headerFooter alignWithMargins="0"/>
    </customSheetView>
    <customSheetView guid="{43DCEB14-ADF8-4168-9283-6542A71D3CF7}" scale="75" showPageBreaks="1" printArea="1" view="pageBreakPreview">
      <pane ySplit="5" topLeftCell="A9" activePane="bottomLeft" state="frozen"/>
      <selection pane="bottomLeft" activeCell="G7" sqref="G7"/>
      <pageMargins left="0.78740157480314965" right="0.39370078740157483" top="0.59055118110236227" bottom="0.59055118110236227" header="0.27559055118110237" footer="0.31496062992125984"/>
      <pageSetup paperSize="9" scale="45" orientation="portrait" r:id="rId3"/>
      <headerFooter alignWithMargins="0"/>
    </customSheetView>
  </customSheetViews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95"/>
  <sheetViews>
    <sheetView view="pageBreakPreview" zoomScale="60" zoomScaleNormal="60" workbookViewId="0">
      <selection activeCell="J32" sqref="J32:K32"/>
    </sheetView>
  </sheetViews>
  <sheetFormatPr defaultColWidth="9.140625" defaultRowHeight="18.75"/>
  <cols>
    <col min="1" max="1" width="44.85546875" style="1" customWidth="1"/>
    <col min="2" max="2" width="13.5703125" style="20" customWidth="1"/>
    <col min="3" max="3" width="12.7109375" style="1" customWidth="1"/>
    <col min="4" max="4" width="16.140625" style="1" customWidth="1"/>
    <col min="5" max="5" width="15.42578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" width="48.5703125" style="1" customWidth="1"/>
    <col min="17" max="16384" width="9.140625" style="1"/>
  </cols>
  <sheetData>
    <row r="1" spans="1:15">
      <c r="A1" s="460" t="s">
        <v>136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</row>
    <row r="2" spans="1:15">
      <c r="A2" s="461" t="s">
        <v>544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</row>
    <row r="3" spans="1:15" ht="22.5">
      <c r="A3" s="462" t="s">
        <v>528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</row>
    <row r="4" spans="1:15" ht="20.100000000000001" customHeight="1">
      <c r="A4" s="465" t="s">
        <v>146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</row>
    <row r="5" spans="1:15" ht="21.95" customHeight="1">
      <c r="A5" s="459" t="s">
        <v>98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</row>
    <row r="6" spans="1:15" ht="10.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43.5" customHeight="1">
      <c r="A7" s="466" t="s">
        <v>412</v>
      </c>
      <c r="B7" s="466"/>
      <c r="C7" s="466"/>
      <c r="D7" s="466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66"/>
    </row>
    <row r="8" spans="1:15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</row>
    <row r="9" spans="1:15" s="2" customFormat="1" ht="40.5" customHeight="1">
      <c r="A9" s="342" t="s">
        <v>271</v>
      </c>
      <c r="B9" s="342"/>
      <c r="C9" s="342"/>
      <c r="D9" s="464" t="s">
        <v>551</v>
      </c>
      <c r="E9" s="464"/>
      <c r="F9" s="464" t="s">
        <v>552</v>
      </c>
      <c r="G9" s="464"/>
      <c r="H9" s="464" t="s">
        <v>553</v>
      </c>
      <c r="I9" s="464"/>
      <c r="J9" s="343" t="s">
        <v>148</v>
      </c>
      <c r="K9" s="343"/>
      <c r="L9" s="343" t="s">
        <v>292</v>
      </c>
      <c r="M9" s="343"/>
      <c r="N9" s="343" t="s">
        <v>293</v>
      </c>
      <c r="O9" s="343"/>
    </row>
    <row r="10" spans="1:15" s="2" customFormat="1" ht="18" customHeight="1">
      <c r="A10" s="342">
        <v>1</v>
      </c>
      <c r="B10" s="342"/>
      <c r="C10" s="342"/>
      <c r="D10" s="343">
        <v>2</v>
      </c>
      <c r="E10" s="343"/>
      <c r="F10" s="343">
        <v>3</v>
      </c>
      <c r="G10" s="343"/>
      <c r="H10" s="343">
        <v>4</v>
      </c>
      <c r="I10" s="343"/>
      <c r="J10" s="343">
        <v>5</v>
      </c>
      <c r="K10" s="343"/>
      <c r="L10" s="343">
        <v>6</v>
      </c>
      <c r="M10" s="343"/>
      <c r="N10" s="343">
        <v>7</v>
      </c>
      <c r="O10" s="343"/>
    </row>
    <row r="11" spans="1:15" s="2" customFormat="1" ht="20.100000000000001" customHeight="1">
      <c r="A11" s="454" t="s">
        <v>147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6"/>
      <c r="L11" s="467"/>
      <c r="M11" s="468"/>
      <c r="N11" s="467"/>
      <c r="O11" s="468"/>
    </row>
    <row r="12" spans="1:15" s="2" customFormat="1" ht="20.100000000000001" customHeight="1">
      <c r="A12" s="452" t="s">
        <v>312</v>
      </c>
      <c r="B12" s="452"/>
      <c r="C12" s="452"/>
      <c r="D12" s="421">
        <v>5</v>
      </c>
      <c r="E12" s="422"/>
      <c r="F12" s="421">
        <v>5</v>
      </c>
      <c r="G12" s="422"/>
      <c r="H12" s="421">
        <v>9</v>
      </c>
      <c r="I12" s="422"/>
      <c r="J12" s="421">
        <v>9</v>
      </c>
      <c r="K12" s="422"/>
      <c r="L12" s="412">
        <f>J12/H12*100%</f>
        <v>1</v>
      </c>
      <c r="M12" s="413"/>
      <c r="N12" s="412">
        <f>J12/F12*100%</f>
        <v>1.8</v>
      </c>
      <c r="O12" s="413"/>
    </row>
    <row r="13" spans="1:15" s="2" customFormat="1" ht="20.100000000000001" customHeight="1">
      <c r="A13" s="452" t="s">
        <v>313</v>
      </c>
      <c r="B13" s="452"/>
      <c r="C13" s="452"/>
      <c r="D13" s="421">
        <v>14</v>
      </c>
      <c r="E13" s="422"/>
      <c r="F13" s="421">
        <v>14</v>
      </c>
      <c r="G13" s="422"/>
      <c r="H13" s="421">
        <v>11</v>
      </c>
      <c r="I13" s="422"/>
      <c r="J13" s="421">
        <v>11</v>
      </c>
      <c r="K13" s="422"/>
      <c r="L13" s="412">
        <f t="shared" ref="L13:L33" si="0">J13/H13*100%</f>
        <v>1</v>
      </c>
      <c r="M13" s="413"/>
      <c r="N13" s="412">
        <f t="shared" ref="N13:N33" si="1">J13/F13*100%</f>
        <v>0.7857142857142857</v>
      </c>
      <c r="O13" s="413"/>
    </row>
    <row r="14" spans="1:15" s="2" customFormat="1" ht="20.100000000000001" customHeight="1">
      <c r="A14" s="452" t="s">
        <v>314</v>
      </c>
      <c r="B14" s="452"/>
      <c r="C14" s="452"/>
      <c r="D14" s="421"/>
      <c r="E14" s="422"/>
      <c r="F14" s="421"/>
      <c r="G14" s="422"/>
      <c r="H14" s="421"/>
      <c r="I14" s="422"/>
      <c r="J14" s="421"/>
      <c r="K14" s="422"/>
      <c r="L14" s="412"/>
      <c r="M14" s="413"/>
      <c r="N14" s="412"/>
      <c r="O14" s="413"/>
    </row>
    <row r="15" spans="1:15" s="2" customFormat="1" ht="20.100000000000001" customHeight="1">
      <c r="A15" s="452" t="s">
        <v>315</v>
      </c>
      <c r="B15" s="452"/>
      <c r="C15" s="452"/>
      <c r="D15" s="421"/>
      <c r="E15" s="422"/>
      <c r="F15" s="421"/>
      <c r="G15" s="422"/>
      <c r="H15" s="421"/>
      <c r="I15" s="422"/>
      <c r="J15" s="421"/>
      <c r="K15" s="422"/>
      <c r="L15" s="412"/>
      <c r="M15" s="413"/>
      <c r="N15" s="412"/>
      <c r="O15" s="413"/>
    </row>
    <row r="16" spans="1:15" s="2" customFormat="1" ht="20.100000000000001" customHeight="1">
      <c r="A16" s="452" t="s">
        <v>316</v>
      </c>
      <c r="B16" s="452"/>
      <c r="C16" s="452"/>
      <c r="D16" s="421">
        <v>22</v>
      </c>
      <c r="E16" s="422"/>
      <c r="F16" s="421">
        <v>22</v>
      </c>
      <c r="G16" s="422"/>
      <c r="H16" s="421">
        <v>22</v>
      </c>
      <c r="I16" s="422"/>
      <c r="J16" s="421">
        <v>22</v>
      </c>
      <c r="K16" s="422"/>
      <c r="L16" s="412">
        <f t="shared" si="0"/>
        <v>1</v>
      </c>
      <c r="M16" s="413"/>
      <c r="N16" s="412">
        <f t="shared" si="1"/>
        <v>1</v>
      </c>
      <c r="O16" s="413"/>
    </row>
    <row r="17" spans="1:16" s="2" customFormat="1" ht="20.100000000000001" customHeight="1">
      <c r="A17" s="452" t="s">
        <v>317</v>
      </c>
      <c r="B17" s="452"/>
      <c r="C17" s="452"/>
      <c r="D17" s="421"/>
      <c r="E17" s="422"/>
      <c r="F17" s="457"/>
      <c r="G17" s="458"/>
      <c r="H17" s="421"/>
      <c r="I17" s="422"/>
      <c r="J17" s="421"/>
      <c r="K17" s="422"/>
      <c r="L17" s="412"/>
      <c r="M17" s="413"/>
      <c r="N17" s="412"/>
      <c r="O17" s="413"/>
    </row>
    <row r="18" spans="1:16" s="2" customFormat="1" ht="20.100000000000001" customHeight="1">
      <c r="A18" s="454" t="s">
        <v>290</v>
      </c>
      <c r="B18" s="455"/>
      <c r="C18" s="455"/>
      <c r="D18" s="455"/>
      <c r="E18" s="455"/>
      <c r="F18" s="455"/>
      <c r="G18" s="455"/>
      <c r="H18" s="455"/>
      <c r="I18" s="455"/>
      <c r="J18" s="455"/>
      <c r="K18" s="456"/>
      <c r="L18" s="412"/>
      <c r="M18" s="413"/>
      <c r="N18" s="412"/>
      <c r="O18" s="413"/>
    </row>
    <row r="19" spans="1:16" s="2" customFormat="1" ht="20.100000000000001" customHeight="1">
      <c r="A19" s="414" t="s">
        <v>269</v>
      </c>
      <c r="B19" s="414"/>
      <c r="C19" s="414"/>
      <c r="D19" s="415">
        <v>272</v>
      </c>
      <c r="E19" s="416"/>
      <c r="F19" s="415">
        <v>272</v>
      </c>
      <c r="G19" s="416"/>
      <c r="H19" s="415">
        <v>350</v>
      </c>
      <c r="I19" s="416"/>
      <c r="J19" s="415">
        <f>штатка!W54/1000</f>
        <v>295.98899999999998</v>
      </c>
      <c r="K19" s="416"/>
      <c r="L19" s="412">
        <f t="shared" si="0"/>
        <v>0.84568285714285707</v>
      </c>
      <c r="M19" s="413"/>
      <c r="N19" s="412">
        <f t="shared" si="1"/>
        <v>1.0881948529411765</v>
      </c>
      <c r="O19" s="413"/>
    </row>
    <row r="20" spans="1:16" s="2" customFormat="1" ht="20.100000000000001" customHeight="1">
      <c r="A20" s="414" t="s">
        <v>294</v>
      </c>
      <c r="B20" s="414"/>
      <c r="C20" s="414"/>
      <c r="D20" s="415">
        <v>1145</v>
      </c>
      <c r="E20" s="416"/>
      <c r="F20" s="415">
        <v>1145</v>
      </c>
      <c r="G20" s="416"/>
      <c r="H20" s="415">
        <v>1711</v>
      </c>
      <c r="I20" s="416"/>
      <c r="J20" s="415">
        <f>штатка!W55/1000</f>
        <v>1811.0811000000001</v>
      </c>
      <c r="K20" s="416"/>
      <c r="L20" s="412">
        <f t="shared" si="0"/>
        <v>1.0584927527761543</v>
      </c>
      <c r="M20" s="413"/>
      <c r="N20" s="412">
        <f t="shared" si="1"/>
        <v>1.5817302183406114</v>
      </c>
      <c r="O20" s="413"/>
    </row>
    <row r="21" spans="1:16" s="2" customFormat="1" ht="20.100000000000001" customHeight="1">
      <c r="A21" s="414" t="s">
        <v>270</v>
      </c>
      <c r="B21" s="414"/>
      <c r="C21" s="414"/>
      <c r="D21" s="415">
        <v>3099</v>
      </c>
      <c r="E21" s="416"/>
      <c r="F21" s="415">
        <v>3099</v>
      </c>
      <c r="G21" s="416"/>
      <c r="H21" s="415">
        <v>2837</v>
      </c>
      <c r="I21" s="416"/>
      <c r="J21" s="415">
        <f>штатка!W56/1000</f>
        <v>2483.2372</v>
      </c>
      <c r="K21" s="416"/>
      <c r="L21" s="412">
        <f t="shared" si="0"/>
        <v>0.8753039125837152</v>
      </c>
      <c r="M21" s="413"/>
      <c r="N21" s="412">
        <f t="shared" si="1"/>
        <v>0.80130274282026459</v>
      </c>
      <c r="O21" s="413"/>
    </row>
    <row r="22" spans="1:16" s="2" customFormat="1" ht="20.100000000000001" customHeight="1">
      <c r="A22" s="469" t="s">
        <v>291</v>
      </c>
      <c r="B22" s="470"/>
      <c r="C22" s="470"/>
      <c r="D22" s="470"/>
      <c r="E22" s="470"/>
      <c r="F22" s="470"/>
      <c r="G22" s="470"/>
      <c r="H22" s="470"/>
      <c r="I22" s="470"/>
      <c r="J22" s="470"/>
      <c r="K22" s="471"/>
      <c r="L22" s="412"/>
      <c r="M22" s="413"/>
      <c r="N22" s="412"/>
      <c r="O22" s="413"/>
    </row>
    <row r="23" spans="1:16" s="2" customFormat="1" ht="20.100000000000001" customHeight="1">
      <c r="A23" s="414" t="s">
        <v>269</v>
      </c>
      <c r="B23" s="414"/>
      <c r="C23" s="414"/>
      <c r="D23" s="415">
        <v>332</v>
      </c>
      <c r="E23" s="416"/>
      <c r="F23" s="415">
        <v>332</v>
      </c>
      <c r="G23" s="416"/>
      <c r="H23" s="415">
        <v>426</v>
      </c>
      <c r="I23" s="416"/>
      <c r="J23" s="415">
        <f>штатка!W59/1000</f>
        <v>361.10658000000001</v>
      </c>
      <c r="K23" s="416"/>
      <c r="L23" s="412">
        <f t="shared" si="0"/>
        <v>0.8476680281690141</v>
      </c>
      <c r="M23" s="413"/>
      <c r="N23" s="412">
        <f t="shared" si="1"/>
        <v>1.087670421686747</v>
      </c>
      <c r="O23" s="413"/>
    </row>
    <row r="24" spans="1:16" s="2" customFormat="1" ht="20.100000000000001" customHeight="1">
      <c r="A24" s="414" t="s">
        <v>294</v>
      </c>
      <c r="B24" s="414"/>
      <c r="C24" s="414"/>
      <c r="D24" s="415">
        <v>1375</v>
      </c>
      <c r="E24" s="416"/>
      <c r="F24" s="415">
        <v>1375</v>
      </c>
      <c r="G24" s="416"/>
      <c r="H24" s="415">
        <v>2034</v>
      </c>
      <c r="I24" s="416"/>
      <c r="J24" s="415">
        <f>штатка!W60/1000</f>
        <v>2151.2853843000003</v>
      </c>
      <c r="K24" s="416"/>
      <c r="L24" s="412">
        <f t="shared" si="0"/>
        <v>1.0576624308259588</v>
      </c>
      <c r="M24" s="413"/>
      <c r="N24" s="412">
        <f t="shared" si="1"/>
        <v>1.5645711885818183</v>
      </c>
      <c r="O24" s="413"/>
    </row>
    <row r="25" spans="1:16" s="2" customFormat="1" ht="20.100000000000001" customHeight="1">
      <c r="A25" s="414" t="s">
        <v>270</v>
      </c>
      <c r="B25" s="414"/>
      <c r="C25" s="414"/>
      <c r="D25" s="415">
        <v>3743</v>
      </c>
      <c r="E25" s="416"/>
      <c r="F25" s="415">
        <v>3743</v>
      </c>
      <c r="G25" s="416"/>
      <c r="H25" s="415">
        <v>3448</v>
      </c>
      <c r="I25" s="416"/>
      <c r="J25" s="415">
        <f>штатка!W61/1000</f>
        <v>3014.0266142</v>
      </c>
      <c r="K25" s="416"/>
      <c r="L25" s="412">
        <f t="shared" si="0"/>
        <v>0.87413764912993042</v>
      </c>
      <c r="M25" s="413"/>
      <c r="N25" s="412">
        <f t="shared" si="1"/>
        <v>0.80524355174993323</v>
      </c>
      <c r="O25" s="413"/>
    </row>
    <row r="26" spans="1:16" s="2" customFormat="1" ht="38.25" customHeight="1">
      <c r="A26" s="469" t="s">
        <v>318</v>
      </c>
      <c r="B26" s="470"/>
      <c r="C26" s="470"/>
      <c r="D26" s="470"/>
      <c r="E26" s="470"/>
      <c r="F26" s="472"/>
      <c r="G26" s="472"/>
      <c r="H26" s="470"/>
      <c r="I26" s="470"/>
      <c r="J26" s="470"/>
      <c r="K26" s="471"/>
      <c r="L26" s="412"/>
      <c r="M26" s="413"/>
      <c r="N26" s="412"/>
      <c r="O26" s="413"/>
    </row>
    <row r="27" spans="1:16" s="2" customFormat="1" ht="22.5">
      <c r="A27" s="414" t="s">
        <v>269</v>
      </c>
      <c r="B27" s="414"/>
      <c r="C27" s="414"/>
      <c r="D27" s="327">
        <v>17325</v>
      </c>
      <c r="E27" s="327"/>
      <c r="F27" s="328">
        <v>17325</v>
      </c>
      <c r="G27" s="325"/>
      <c r="H27" s="451">
        <v>22325</v>
      </c>
      <c r="I27" s="416"/>
      <c r="J27" s="415">
        <f>штатка!W64</f>
        <v>22325</v>
      </c>
      <c r="K27" s="416"/>
      <c r="L27" s="412">
        <f t="shared" si="0"/>
        <v>1</v>
      </c>
      <c r="M27" s="413"/>
      <c r="N27" s="412">
        <f t="shared" si="1"/>
        <v>1.2886002886002885</v>
      </c>
      <c r="O27" s="413"/>
      <c r="P27" s="262"/>
    </row>
    <row r="28" spans="1:16" s="2" customFormat="1" ht="20.100000000000001" customHeight="1">
      <c r="A28" s="414" t="s">
        <v>294</v>
      </c>
      <c r="B28" s="414"/>
      <c r="C28" s="414"/>
      <c r="D28" s="324">
        <v>9328</v>
      </c>
      <c r="E28" s="325"/>
      <c r="F28" s="324">
        <v>9328</v>
      </c>
      <c r="G28" s="325"/>
      <c r="H28" s="415">
        <v>9450</v>
      </c>
      <c r="I28" s="416"/>
      <c r="J28" s="415">
        <f>штатка!W65</f>
        <v>10084</v>
      </c>
      <c r="K28" s="416"/>
      <c r="L28" s="412">
        <f t="shared" si="0"/>
        <v>1.0670899470899471</v>
      </c>
      <c r="M28" s="413"/>
      <c r="N28" s="412">
        <f t="shared" si="1"/>
        <v>1.0810463121783878</v>
      </c>
      <c r="O28" s="413"/>
    </row>
    <row r="29" spans="1:16" s="2" customFormat="1" ht="20.100000000000001" customHeight="1">
      <c r="A29" s="414" t="s">
        <v>270</v>
      </c>
      <c r="B29" s="414"/>
      <c r="C29" s="414"/>
      <c r="D29" s="324">
        <v>2580</v>
      </c>
      <c r="E29" s="325"/>
      <c r="F29" s="324">
        <v>2580</v>
      </c>
      <c r="G29" s="325"/>
      <c r="H29" s="415">
        <v>2750</v>
      </c>
      <c r="I29" s="416"/>
      <c r="J29" s="415">
        <f>штатка!W66</f>
        <v>3493.1333333333332</v>
      </c>
      <c r="K29" s="416"/>
      <c r="L29" s="412">
        <f t="shared" si="0"/>
        <v>1.270230303030303</v>
      </c>
      <c r="M29" s="413"/>
      <c r="N29" s="412">
        <f t="shared" si="1"/>
        <v>1.3539276485788114</v>
      </c>
      <c r="O29" s="413"/>
    </row>
    <row r="30" spans="1:16" s="2" customFormat="1" ht="20.100000000000001" customHeight="1">
      <c r="A30" s="469" t="s">
        <v>319</v>
      </c>
      <c r="B30" s="470"/>
      <c r="C30" s="470"/>
      <c r="D30" s="470"/>
      <c r="E30" s="470"/>
      <c r="F30" s="470"/>
      <c r="G30" s="470"/>
      <c r="H30" s="470"/>
      <c r="I30" s="470"/>
      <c r="J30" s="470"/>
      <c r="K30" s="471"/>
      <c r="L30" s="412"/>
      <c r="M30" s="413"/>
      <c r="N30" s="412"/>
      <c r="O30" s="413"/>
    </row>
    <row r="31" spans="1:16" s="2" customFormat="1" ht="20.100000000000001" customHeight="1">
      <c r="A31" s="414" t="s">
        <v>269</v>
      </c>
      <c r="B31" s="414"/>
      <c r="C31" s="414"/>
      <c r="D31" s="324">
        <v>22678</v>
      </c>
      <c r="E31" s="325"/>
      <c r="F31" s="324">
        <v>22678</v>
      </c>
      <c r="G31" s="325"/>
      <c r="H31" s="415">
        <v>29131</v>
      </c>
      <c r="I31" s="416"/>
      <c r="J31" s="415">
        <f>штатка!W69</f>
        <v>24665.75</v>
      </c>
      <c r="K31" s="416"/>
      <c r="L31" s="412">
        <f t="shared" si="0"/>
        <v>0.84671827263053101</v>
      </c>
      <c r="M31" s="413"/>
      <c r="N31" s="412">
        <f t="shared" si="1"/>
        <v>1.0876510274274627</v>
      </c>
      <c r="O31" s="413"/>
    </row>
    <row r="32" spans="1:16" s="2" customFormat="1" ht="20.100000000000001" customHeight="1">
      <c r="A32" s="414" t="s">
        <v>294</v>
      </c>
      <c r="B32" s="414"/>
      <c r="C32" s="414"/>
      <c r="D32" s="324">
        <v>11929</v>
      </c>
      <c r="E32" s="325"/>
      <c r="F32" s="324">
        <v>11929</v>
      </c>
      <c r="G32" s="325"/>
      <c r="H32" s="415">
        <v>12962</v>
      </c>
      <c r="I32" s="416"/>
      <c r="J32" s="415">
        <f>штатка!W70</f>
        <v>13720.311363636363</v>
      </c>
      <c r="K32" s="416"/>
      <c r="L32" s="412">
        <f t="shared" si="0"/>
        <v>1.0585026511060303</v>
      </c>
      <c r="M32" s="413"/>
      <c r="N32" s="412">
        <f t="shared" si="1"/>
        <v>1.1501644197867686</v>
      </c>
      <c r="O32" s="413"/>
    </row>
    <row r="33" spans="1:15" s="2" customFormat="1" ht="20.100000000000001" customHeight="1">
      <c r="A33" s="414" t="s">
        <v>270</v>
      </c>
      <c r="B33" s="414"/>
      <c r="C33" s="414"/>
      <c r="D33" s="324">
        <v>8069</v>
      </c>
      <c r="E33" s="325"/>
      <c r="F33" s="324">
        <v>8069</v>
      </c>
      <c r="G33" s="325"/>
      <c r="H33" s="415">
        <v>7881</v>
      </c>
      <c r="I33" s="416"/>
      <c r="J33" s="415">
        <f>штатка!W71</f>
        <v>6897.8811111111108</v>
      </c>
      <c r="K33" s="416"/>
      <c r="L33" s="412">
        <f t="shared" si="0"/>
        <v>0.87525455032497279</v>
      </c>
      <c r="M33" s="413"/>
      <c r="N33" s="412">
        <f t="shared" si="1"/>
        <v>0.85486195453105851</v>
      </c>
      <c r="O33" s="413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453" t="s">
        <v>320</v>
      </c>
      <c r="B35" s="453"/>
      <c r="C35" s="453"/>
      <c r="D35" s="453"/>
      <c r="E35" s="453"/>
      <c r="F35" s="453"/>
      <c r="G35" s="453"/>
      <c r="H35" s="453"/>
      <c r="I35" s="453"/>
      <c r="J35" s="453"/>
      <c r="K35" s="453"/>
      <c r="L35" s="453"/>
      <c r="M35" s="453"/>
      <c r="N35" s="453"/>
      <c r="O35" s="453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434" t="s">
        <v>321</v>
      </c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</row>
    <row r="38" spans="1:15" ht="10.5" customHeight="1"/>
    <row r="39" spans="1:15" ht="60" customHeight="1">
      <c r="A39" s="38" t="s">
        <v>149</v>
      </c>
      <c r="B39" s="440" t="s">
        <v>322</v>
      </c>
      <c r="C39" s="441"/>
      <c r="D39" s="441"/>
      <c r="E39" s="441"/>
      <c r="F39" s="382" t="s">
        <v>92</v>
      </c>
      <c r="G39" s="382"/>
      <c r="H39" s="382"/>
      <c r="I39" s="382"/>
      <c r="J39" s="382"/>
      <c r="K39" s="382"/>
      <c r="L39" s="382"/>
      <c r="M39" s="382"/>
      <c r="N39" s="382"/>
      <c r="O39" s="382"/>
    </row>
    <row r="40" spans="1:15" ht="18" customHeight="1">
      <c r="A40" s="38">
        <v>1</v>
      </c>
      <c r="B40" s="440">
        <v>2</v>
      </c>
      <c r="C40" s="441"/>
      <c r="D40" s="441"/>
      <c r="E40" s="441"/>
      <c r="F40" s="382">
        <v>3</v>
      </c>
      <c r="G40" s="382"/>
      <c r="H40" s="382"/>
      <c r="I40" s="382"/>
      <c r="J40" s="382"/>
      <c r="K40" s="382"/>
      <c r="L40" s="382"/>
      <c r="M40" s="382"/>
      <c r="N40" s="382"/>
      <c r="O40" s="382"/>
    </row>
    <row r="41" spans="1:15" ht="20.100000000000001" customHeight="1">
      <c r="A41" s="156"/>
      <c r="B41" s="444"/>
      <c r="C41" s="445"/>
      <c r="D41" s="445"/>
      <c r="E41" s="445"/>
      <c r="F41" s="450"/>
      <c r="G41" s="450"/>
      <c r="H41" s="450"/>
      <c r="I41" s="450"/>
      <c r="J41" s="450"/>
      <c r="K41" s="450"/>
      <c r="L41" s="450"/>
      <c r="M41" s="450"/>
      <c r="N41" s="450"/>
      <c r="O41" s="450"/>
    </row>
    <row r="42" spans="1:15" ht="20.100000000000001" customHeight="1">
      <c r="A42" s="156"/>
      <c r="B42" s="444"/>
      <c r="C42" s="445"/>
      <c r="D42" s="445"/>
      <c r="E42" s="445"/>
      <c r="F42" s="450"/>
      <c r="G42" s="450"/>
      <c r="H42" s="450"/>
      <c r="I42" s="450"/>
      <c r="J42" s="450"/>
      <c r="K42" s="450"/>
      <c r="L42" s="450"/>
      <c r="M42" s="450"/>
      <c r="N42" s="450"/>
      <c r="O42" s="450"/>
    </row>
    <row r="43" spans="1:15" ht="20.100000000000001" customHeight="1">
      <c r="A43" s="156"/>
      <c r="B43" s="444"/>
      <c r="C43" s="445"/>
      <c r="D43" s="445"/>
      <c r="E43" s="445"/>
      <c r="F43" s="450"/>
      <c r="G43" s="450"/>
      <c r="H43" s="450"/>
      <c r="I43" s="450"/>
      <c r="J43" s="450"/>
      <c r="K43" s="450"/>
      <c r="L43" s="450"/>
      <c r="M43" s="450"/>
      <c r="N43" s="450"/>
      <c r="O43" s="450"/>
    </row>
    <row r="44" spans="1:15" ht="20.100000000000001" customHeight="1">
      <c r="A44" s="156"/>
      <c r="B44" s="444"/>
      <c r="C44" s="445"/>
      <c r="D44" s="445"/>
      <c r="E44" s="445"/>
      <c r="F44" s="450"/>
      <c r="G44" s="450"/>
      <c r="H44" s="450"/>
      <c r="I44" s="450"/>
      <c r="J44" s="450"/>
      <c r="K44" s="450"/>
      <c r="L44" s="450"/>
      <c r="M44" s="450"/>
      <c r="N44" s="450"/>
      <c r="O44" s="450"/>
    </row>
    <row r="45" spans="1:15" ht="20.100000000000001" customHeight="1">
      <c r="A45" s="156"/>
      <c r="B45" s="444"/>
      <c r="C45" s="445"/>
      <c r="D45" s="445"/>
      <c r="E45" s="445"/>
      <c r="F45" s="450"/>
      <c r="G45" s="450"/>
      <c r="H45" s="450"/>
      <c r="I45" s="450"/>
      <c r="J45" s="450"/>
      <c r="K45" s="450"/>
      <c r="L45" s="450"/>
      <c r="M45" s="450"/>
      <c r="N45" s="450"/>
      <c r="O45" s="450"/>
    </row>
    <row r="46" spans="1:15" ht="20.100000000000001" customHeight="1">
      <c r="A46" s="156"/>
      <c r="B46" s="444"/>
      <c r="C46" s="445"/>
      <c r="D46" s="445"/>
      <c r="E46" s="445"/>
      <c r="F46" s="450"/>
      <c r="G46" s="450"/>
      <c r="H46" s="450"/>
      <c r="I46" s="450"/>
      <c r="J46" s="450"/>
      <c r="K46" s="450"/>
      <c r="L46" s="450"/>
      <c r="M46" s="450"/>
      <c r="N46" s="450"/>
      <c r="O46" s="450"/>
    </row>
    <row r="47" spans="1:15" ht="20.100000000000001" customHeight="1">
      <c r="A47" s="156"/>
      <c r="B47" s="444"/>
      <c r="C47" s="445"/>
      <c r="D47" s="445"/>
      <c r="E47" s="445"/>
      <c r="F47" s="450"/>
      <c r="G47" s="450"/>
      <c r="H47" s="450"/>
      <c r="I47" s="450"/>
      <c r="J47" s="450"/>
      <c r="K47" s="450"/>
      <c r="L47" s="450"/>
      <c r="M47" s="450"/>
      <c r="N47" s="450"/>
      <c r="O47" s="450"/>
    </row>
    <row r="48" spans="1:15" ht="20.100000000000001" customHeight="1">
      <c r="A48" s="156"/>
      <c r="B48" s="444"/>
      <c r="C48" s="445"/>
      <c r="D48" s="445"/>
      <c r="E48" s="445"/>
      <c r="F48" s="444"/>
      <c r="G48" s="445"/>
      <c r="H48" s="445"/>
      <c r="I48" s="445"/>
      <c r="J48" s="445"/>
      <c r="K48" s="445"/>
      <c r="L48" s="445"/>
      <c r="M48" s="445"/>
      <c r="N48" s="445"/>
      <c r="O48" s="446"/>
    </row>
    <row r="49" spans="1:15" ht="20.100000000000001" customHeight="1">
      <c r="A49" s="156"/>
      <c r="B49" s="444"/>
      <c r="C49" s="445"/>
      <c r="D49" s="445"/>
      <c r="E49" s="446"/>
      <c r="F49" s="444"/>
      <c r="G49" s="445"/>
      <c r="H49" s="445"/>
      <c r="I49" s="445"/>
      <c r="J49" s="445"/>
      <c r="K49" s="445"/>
      <c r="L49" s="445"/>
      <c r="M49" s="445"/>
      <c r="N49" s="445"/>
      <c r="O49" s="446"/>
    </row>
    <row r="50" spans="1:15" ht="20.100000000000001" customHeight="1">
      <c r="A50" s="70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443" t="s">
        <v>252</v>
      </c>
      <c r="B51" s="443"/>
      <c r="C51" s="443"/>
      <c r="D51" s="443"/>
      <c r="E51" s="443"/>
      <c r="F51" s="443"/>
      <c r="G51" s="443"/>
      <c r="H51" s="443"/>
      <c r="I51" s="443"/>
      <c r="J51" s="443"/>
    </row>
    <row r="52" spans="1:15" ht="20.100000000000001" customHeight="1">
      <c r="A52" s="19"/>
    </row>
    <row r="53" spans="1:15" ht="63.95" customHeight="1">
      <c r="A53" s="378" t="s">
        <v>271</v>
      </c>
      <c r="B53" s="378" t="s">
        <v>323</v>
      </c>
      <c r="C53" s="378"/>
      <c r="D53" s="433" t="s">
        <v>543</v>
      </c>
      <c r="E53" s="433"/>
      <c r="F53" s="433"/>
      <c r="G53" s="433" t="s">
        <v>542</v>
      </c>
      <c r="H53" s="433"/>
      <c r="I53" s="433"/>
      <c r="J53" s="447" t="s">
        <v>541</v>
      </c>
      <c r="K53" s="448"/>
      <c r="L53" s="449"/>
      <c r="M53" s="433" t="s">
        <v>540</v>
      </c>
      <c r="N53" s="433"/>
      <c r="O53" s="433"/>
    </row>
    <row r="54" spans="1:15" ht="168.75">
      <c r="A54" s="378"/>
      <c r="B54" s="7" t="s">
        <v>78</v>
      </c>
      <c r="C54" s="7" t="s">
        <v>79</v>
      </c>
      <c r="D54" s="7" t="s">
        <v>324</v>
      </c>
      <c r="E54" s="7" t="s">
        <v>325</v>
      </c>
      <c r="F54" s="7" t="s">
        <v>326</v>
      </c>
      <c r="G54" s="7" t="s">
        <v>324</v>
      </c>
      <c r="H54" s="7" t="s">
        <v>325</v>
      </c>
      <c r="I54" s="7" t="s">
        <v>326</v>
      </c>
      <c r="J54" s="281" t="s">
        <v>324</v>
      </c>
      <c r="K54" s="281" t="s">
        <v>325</v>
      </c>
      <c r="L54" s="281" t="s">
        <v>326</v>
      </c>
      <c r="M54" s="7" t="s">
        <v>324</v>
      </c>
      <c r="N54" s="7" t="s">
        <v>325</v>
      </c>
      <c r="O54" s="7" t="s">
        <v>326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282">
        <v>10</v>
      </c>
      <c r="K55" s="282">
        <v>11</v>
      </c>
      <c r="L55" s="282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57" t="s">
        <v>413</v>
      </c>
      <c r="B56" s="107">
        <v>100</v>
      </c>
      <c r="C56" s="107">
        <v>100</v>
      </c>
      <c r="D56" s="253">
        <v>2627</v>
      </c>
      <c r="E56" s="253">
        <v>155</v>
      </c>
      <c r="F56" s="224">
        <f>D56/E56*1000</f>
        <v>16948.387096774193</v>
      </c>
      <c r="G56" s="253">
        <v>2430</v>
      </c>
      <c r="H56" s="253">
        <v>158</v>
      </c>
      <c r="I56" s="224">
        <f>G56/H56*1000</f>
        <v>15379.746835443038</v>
      </c>
      <c r="J56" s="253">
        <v>2111</v>
      </c>
      <c r="K56" s="253">
        <v>121</v>
      </c>
      <c r="L56" s="224">
        <f>J56/K56*1000</f>
        <v>17446.280991735537</v>
      </c>
      <c r="M56" s="224">
        <f>'I. Фін результат'!I8</f>
        <v>2050</v>
      </c>
      <c r="N56" s="253">
        <v>158</v>
      </c>
      <c r="O56" s="224">
        <f>M56/N56*1000</f>
        <v>12974.683544303798</v>
      </c>
    </row>
    <row r="57" spans="1:15" ht="20.100000000000001" customHeight="1">
      <c r="A57" s="158" t="s">
        <v>60</v>
      </c>
      <c r="B57" s="76">
        <v>100</v>
      </c>
      <c r="C57" s="76">
        <v>100</v>
      </c>
      <c r="D57" s="273">
        <v>2427</v>
      </c>
      <c r="E57" s="107"/>
      <c r="F57" s="142"/>
      <c r="G57" s="273">
        <v>2430</v>
      </c>
      <c r="H57" s="142"/>
      <c r="I57" s="142"/>
      <c r="J57" s="273">
        <v>2427</v>
      </c>
      <c r="K57" s="142"/>
      <c r="L57" s="142"/>
      <c r="M57" s="254">
        <f>SUM(M56:M56)</f>
        <v>2050</v>
      </c>
      <c r="N57" s="142"/>
      <c r="O57" s="142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434" t="s">
        <v>80</v>
      </c>
      <c r="B59" s="434"/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</row>
    <row r="60" spans="1:15" ht="20.100000000000001" customHeight="1">
      <c r="A60" s="19"/>
    </row>
    <row r="61" spans="1:15" ht="63.95" customHeight="1">
      <c r="A61" s="7" t="s">
        <v>140</v>
      </c>
      <c r="B61" s="378" t="s">
        <v>77</v>
      </c>
      <c r="C61" s="378"/>
      <c r="D61" s="378" t="s">
        <v>72</v>
      </c>
      <c r="E61" s="378"/>
      <c r="F61" s="378" t="s">
        <v>73</v>
      </c>
      <c r="G61" s="378"/>
      <c r="H61" s="378" t="s">
        <v>327</v>
      </c>
      <c r="I61" s="378"/>
      <c r="J61" s="378"/>
      <c r="K61" s="437" t="s">
        <v>93</v>
      </c>
      <c r="L61" s="439"/>
      <c r="M61" s="437" t="s">
        <v>37</v>
      </c>
      <c r="N61" s="438"/>
      <c r="O61" s="439"/>
    </row>
    <row r="62" spans="1:15" ht="18" customHeight="1">
      <c r="A62" s="6">
        <v>1</v>
      </c>
      <c r="B62" s="382">
        <v>2</v>
      </c>
      <c r="C62" s="382"/>
      <c r="D62" s="382">
        <v>3</v>
      </c>
      <c r="E62" s="382"/>
      <c r="F62" s="436">
        <v>4</v>
      </c>
      <c r="G62" s="436"/>
      <c r="H62" s="382">
        <v>5</v>
      </c>
      <c r="I62" s="382"/>
      <c r="J62" s="382"/>
      <c r="K62" s="382">
        <v>6</v>
      </c>
      <c r="L62" s="382"/>
      <c r="M62" s="440">
        <v>7</v>
      </c>
      <c r="N62" s="441"/>
      <c r="O62" s="442"/>
    </row>
    <row r="63" spans="1:15" ht="20.100000000000001" customHeight="1">
      <c r="A63" s="157"/>
      <c r="B63" s="430"/>
      <c r="C63" s="430"/>
      <c r="D63" s="430"/>
      <c r="E63" s="430"/>
      <c r="F63" s="430"/>
      <c r="G63" s="430"/>
      <c r="H63" s="430"/>
      <c r="I63" s="430"/>
      <c r="J63" s="430"/>
      <c r="K63" s="426"/>
      <c r="L63" s="428"/>
      <c r="M63" s="430"/>
      <c r="N63" s="430"/>
      <c r="O63" s="430"/>
    </row>
    <row r="64" spans="1:15" ht="20.100000000000001" customHeight="1">
      <c r="A64" s="157"/>
      <c r="B64" s="426"/>
      <c r="C64" s="428"/>
      <c r="D64" s="426"/>
      <c r="E64" s="428"/>
      <c r="F64" s="426"/>
      <c r="G64" s="428"/>
      <c r="H64" s="426"/>
      <c r="I64" s="427"/>
      <c r="J64" s="428"/>
      <c r="K64" s="426"/>
      <c r="L64" s="428"/>
      <c r="M64" s="426"/>
      <c r="N64" s="427"/>
      <c r="O64" s="428"/>
    </row>
    <row r="65" spans="1:15" ht="20.100000000000001" customHeight="1">
      <c r="A65" s="157"/>
      <c r="B65" s="430"/>
      <c r="C65" s="430"/>
      <c r="D65" s="430"/>
      <c r="E65" s="430"/>
      <c r="F65" s="430"/>
      <c r="G65" s="430"/>
      <c r="H65" s="430"/>
      <c r="I65" s="430"/>
      <c r="J65" s="430"/>
      <c r="K65" s="426"/>
      <c r="L65" s="428"/>
      <c r="M65" s="430"/>
      <c r="N65" s="430"/>
      <c r="O65" s="430"/>
    </row>
    <row r="66" spans="1:15" ht="20.100000000000001" customHeight="1">
      <c r="A66" s="158" t="s">
        <v>60</v>
      </c>
      <c r="B66" s="435" t="s">
        <v>38</v>
      </c>
      <c r="C66" s="435"/>
      <c r="D66" s="435" t="s">
        <v>38</v>
      </c>
      <c r="E66" s="435"/>
      <c r="F66" s="435" t="s">
        <v>38</v>
      </c>
      <c r="G66" s="435"/>
      <c r="H66" s="430"/>
      <c r="I66" s="430"/>
      <c r="J66" s="430"/>
      <c r="K66" s="431">
        <f>SUM(K63:L65)</f>
        <v>0</v>
      </c>
      <c r="L66" s="432"/>
      <c r="M66" s="430"/>
      <c r="N66" s="430"/>
      <c r="O66" s="430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434" t="s">
        <v>81</v>
      </c>
      <c r="B68" s="434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433" t="s">
        <v>71</v>
      </c>
      <c r="B70" s="433"/>
      <c r="C70" s="433"/>
      <c r="D70" s="433" t="s">
        <v>94</v>
      </c>
      <c r="E70" s="433"/>
      <c r="F70" s="433"/>
      <c r="G70" s="433" t="s">
        <v>352</v>
      </c>
      <c r="H70" s="433"/>
      <c r="I70" s="433"/>
      <c r="J70" s="433" t="s">
        <v>346</v>
      </c>
      <c r="K70" s="433"/>
      <c r="L70" s="433"/>
      <c r="M70" s="433" t="s">
        <v>95</v>
      </c>
      <c r="N70" s="433"/>
      <c r="O70" s="433"/>
    </row>
    <row r="71" spans="1:15" ht="18" customHeight="1">
      <c r="A71" s="433">
        <v>1</v>
      </c>
      <c r="B71" s="433"/>
      <c r="C71" s="433"/>
      <c r="D71" s="433">
        <v>2</v>
      </c>
      <c r="E71" s="433"/>
      <c r="F71" s="433"/>
      <c r="G71" s="433">
        <v>3</v>
      </c>
      <c r="H71" s="433"/>
      <c r="I71" s="433"/>
      <c r="J71" s="429">
        <v>4</v>
      </c>
      <c r="K71" s="429"/>
      <c r="L71" s="429"/>
      <c r="M71" s="429">
        <v>5</v>
      </c>
      <c r="N71" s="429"/>
      <c r="O71" s="429"/>
    </row>
    <row r="72" spans="1:15" ht="20.100000000000001" customHeight="1">
      <c r="A72" s="420" t="s">
        <v>328</v>
      </c>
      <c r="B72" s="420"/>
      <c r="C72" s="420"/>
      <c r="D72" s="419"/>
      <c r="E72" s="419"/>
      <c r="F72" s="419"/>
      <c r="G72" s="419"/>
      <c r="H72" s="419"/>
      <c r="I72" s="419"/>
      <c r="J72" s="419"/>
      <c r="K72" s="419"/>
      <c r="L72" s="419"/>
      <c r="M72" s="419"/>
      <c r="N72" s="419"/>
      <c r="O72" s="419"/>
    </row>
    <row r="73" spans="1:15" ht="20.100000000000001" customHeight="1">
      <c r="A73" s="420" t="s">
        <v>116</v>
      </c>
      <c r="B73" s="420"/>
      <c r="C73" s="420"/>
      <c r="D73" s="419"/>
      <c r="E73" s="419"/>
      <c r="F73" s="419"/>
      <c r="G73" s="419"/>
      <c r="H73" s="419"/>
      <c r="I73" s="419"/>
      <c r="J73" s="419"/>
      <c r="K73" s="419"/>
      <c r="L73" s="419"/>
      <c r="M73" s="419"/>
      <c r="N73" s="419"/>
      <c r="O73" s="419"/>
    </row>
    <row r="74" spans="1:15" ht="20.100000000000001" customHeight="1">
      <c r="A74" s="420"/>
      <c r="B74" s="420"/>
      <c r="C74" s="420"/>
      <c r="D74" s="423"/>
      <c r="E74" s="424"/>
      <c r="F74" s="425"/>
      <c r="G74" s="423"/>
      <c r="H74" s="424"/>
      <c r="I74" s="425"/>
      <c r="J74" s="423"/>
      <c r="K74" s="424"/>
      <c r="L74" s="425"/>
      <c r="M74" s="423"/>
      <c r="N74" s="424"/>
      <c r="O74" s="425"/>
    </row>
    <row r="75" spans="1:15" ht="20.100000000000001" customHeight="1">
      <c r="A75" s="420" t="s">
        <v>329</v>
      </c>
      <c r="B75" s="420"/>
      <c r="C75" s="420"/>
      <c r="D75" s="419"/>
      <c r="E75" s="419"/>
      <c r="F75" s="419"/>
      <c r="G75" s="419"/>
      <c r="H75" s="419"/>
      <c r="I75" s="419"/>
      <c r="J75" s="419"/>
      <c r="K75" s="419"/>
      <c r="L75" s="419"/>
      <c r="M75" s="419"/>
      <c r="N75" s="419"/>
      <c r="O75" s="419"/>
    </row>
    <row r="76" spans="1:15" ht="20.100000000000001" customHeight="1">
      <c r="A76" s="420" t="s">
        <v>117</v>
      </c>
      <c r="B76" s="420"/>
      <c r="C76" s="420"/>
      <c r="D76" s="419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</row>
    <row r="77" spans="1:15" ht="20.100000000000001" customHeight="1">
      <c r="A77" s="420"/>
      <c r="B77" s="420"/>
      <c r="C77" s="420"/>
      <c r="D77" s="423"/>
      <c r="E77" s="424"/>
      <c r="F77" s="425"/>
      <c r="G77" s="423"/>
      <c r="H77" s="424"/>
      <c r="I77" s="425"/>
      <c r="J77" s="423"/>
      <c r="K77" s="424"/>
      <c r="L77" s="425"/>
      <c r="M77" s="423"/>
      <c r="N77" s="424"/>
      <c r="O77" s="425"/>
    </row>
    <row r="78" spans="1:15" ht="20.100000000000001" customHeight="1">
      <c r="A78" s="420" t="s">
        <v>330</v>
      </c>
      <c r="B78" s="420"/>
      <c r="C78" s="420"/>
      <c r="D78" s="419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</row>
    <row r="79" spans="1:15" ht="20.100000000000001" customHeight="1">
      <c r="A79" s="420" t="s">
        <v>116</v>
      </c>
      <c r="B79" s="420"/>
      <c r="C79" s="420"/>
      <c r="D79" s="419"/>
      <c r="E79" s="419"/>
      <c r="F79" s="419"/>
      <c r="G79" s="419"/>
      <c r="H79" s="419"/>
      <c r="I79" s="419"/>
      <c r="J79" s="419"/>
      <c r="K79" s="419"/>
      <c r="L79" s="419"/>
      <c r="M79" s="419"/>
      <c r="N79" s="419"/>
      <c r="O79" s="419"/>
    </row>
    <row r="80" spans="1:15" ht="20.100000000000001" customHeight="1">
      <c r="A80" s="372"/>
      <c r="B80" s="338"/>
      <c r="C80" s="417"/>
      <c r="D80" s="419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</row>
    <row r="81" spans="1:15" ht="20.100000000000001" customHeight="1">
      <c r="A81" s="372" t="s">
        <v>60</v>
      </c>
      <c r="B81" s="338"/>
      <c r="C81" s="417"/>
      <c r="D81" s="418"/>
      <c r="E81" s="418"/>
      <c r="F81" s="418"/>
      <c r="G81" s="418"/>
      <c r="H81" s="418"/>
      <c r="I81" s="418"/>
      <c r="J81" s="419"/>
      <c r="K81" s="419"/>
      <c r="L81" s="419"/>
      <c r="M81" s="419"/>
      <c r="N81" s="419"/>
      <c r="O81" s="419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4BF2F851-A775-4F33-8DA4-C59D9D94DA9D}" scale="60" showPageBreaks="1" printArea="1" view="pageBreakPreview" topLeftCell="A41">
      <selection activeCell="A17" sqref="A17:C1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verticalDpi="1200" r:id="rId1"/>
      <headerFooter alignWithMargins="0"/>
    </customSheetView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  <customSheetView guid="{43DCEB14-ADF8-4168-9283-6542A71D3CF7}" scale="60" showPageBreaks="1" printArea="1" view="pageBreakPreview">
      <selection activeCell="J32" sqref="J32:K32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verticalDpi="1200" r:id="rId3"/>
      <headerFooter alignWithMargins="0"/>
    </customSheetView>
  </customSheetViews>
  <mergeCells count="278">
    <mergeCell ref="F25:G25"/>
    <mergeCell ref="F19:G19"/>
    <mergeCell ref="F20:G20"/>
    <mergeCell ref="F21:G21"/>
    <mergeCell ref="A22:K22"/>
    <mergeCell ref="A26:K26"/>
    <mergeCell ref="A30:K30"/>
    <mergeCell ref="D12:E12"/>
    <mergeCell ref="D13:E13"/>
    <mergeCell ref="D14:E14"/>
    <mergeCell ref="D15:E15"/>
    <mergeCell ref="D16:E16"/>
    <mergeCell ref="D17:E17"/>
    <mergeCell ref="A12:C12"/>
    <mergeCell ref="D19:E19"/>
    <mergeCell ref="D20:E20"/>
    <mergeCell ref="D21:E21"/>
    <mergeCell ref="D23:E23"/>
    <mergeCell ref="D24:E24"/>
    <mergeCell ref="D25:E25"/>
    <mergeCell ref="F23:G23"/>
    <mergeCell ref="F24:G24"/>
    <mergeCell ref="H13:I13"/>
    <mergeCell ref="A5:O5"/>
    <mergeCell ref="H12:I12"/>
    <mergeCell ref="J12:K12"/>
    <mergeCell ref="A1:O1"/>
    <mergeCell ref="A2:O2"/>
    <mergeCell ref="A3:O3"/>
    <mergeCell ref="D9:E9"/>
    <mergeCell ref="F9:G9"/>
    <mergeCell ref="A9:C9"/>
    <mergeCell ref="A4:O4"/>
    <mergeCell ref="A7:O7"/>
    <mergeCell ref="J9:K9"/>
    <mergeCell ref="H9:I9"/>
    <mergeCell ref="A10:C10"/>
    <mergeCell ref="N10:O10"/>
    <mergeCell ref="N11:O11"/>
    <mergeCell ref="L11:M11"/>
    <mergeCell ref="J10:K10"/>
    <mergeCell ref="D10:E10"/>
    <mergeCell ref="F10:G10"/>
    <mergeCell ref="N12:O12"/>
    <mergeCell ref="H10:I10"/>
    <mergeCell ref="L9:M9"/>
    <mergeCell ref="N9:O9"/>
    <mergeCell ref="L10:M10"/>
    <mergeCell ref="L12:M12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L16:M16"/>
    <mergeCell ref="L13:M13"/>
    <mergeCell ref="J13:K13"/>
    <mergeCell ref="F12:G12"/>
    <mergeCell ref="F13:G13"/>
    <mergeCell ref="F14:G14"/>
    <mergeCell ref="A11:K11"/>
    <mergeCell ref="L14:M14"/>
    <mergeCell ref="N16:O16"/>
    <mergeCell ref="N15:O15"/>
    <mergeCell ref="A15:C15"/>
    <mergeCell ref="J14:K14"/>
    <mergeCell ref="H14:I14"/>
    <mergeCell ref="A13:C13"/>
    <mergeCell ref="N14:O14"/>
    <mergeCell ref="N13:O13"/>
    <mergeCell ref="A14:C14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A51:J51"/>
    <mergeCell ref="B53:C53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verticalDpi="1200" r:id="rId4"/>
  <headerFooter alignWithMargins="0"/>
  <rowBreaks count="1" manualBreakCount="1">
    <brk id="49" max="14" man="1"/>
  </rowBreaks>
  <ignoredErrors>
    <ignoredError sqref="F57 H57:I57 K57:M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3:AG71"/>
  <sheetViews>
    <sheetView tabSelected="1" topLeftCell="M31" workbookViewId="0">
      <selection activeCell="K32" sqref="K32"/>
    </sheetView>
  </sheetViews>
  <sheetFormatPr defaultRowHeight="12.75"/>
  <cols>
    <col min="1" max="1" width="4" style="289" customWidth="1"/>
    <col min="2" max="2" width="21.28515625" style="289" customWidth="1"/>
    <col min="3" max="4" width="9.140625" style="289"/>
    <col min="5" max="21" width="9.140625" style="289" customWidth="1"/>
    <col min="22" max="22" width="17.42578125" style="289" customWidth="1"/>
    <col min="23" max="23" width="12.42578125" style="289" customWidth="1"/>
    <col min="24" max="24" width="11.85546875" style="289" customWidth="1"/>
    <col min="25" max="25" width="12.5703125" style="289" customWidth="1"/>
    <col min="26" max="26" width="12.28515625" style="289" customWidth="1"/>
    <col min="27" max="31" width="9.140625" style="289"/>
    <col min="32" max="32" width="11.28515625" style="316" bestFit="1" customWidth="1"/>
    <col min="33" max="33" width="9.7109375" style="289" bestFit="1" customWidth="1"/>
    <col min="34" max="16384" width="9.140625" style="289"/>
  </cols>
  <sheetData>
    <row r="3" spans="1:32" ht="22.5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284" t="s">
        <v>466</v>
      </c>
      <c r="M3" s="285"/>
      <c r="N3" s="285"/>
      <c r="O3" s="285"/>
      <c r="P3" s="286"/>
      <c r="Q3" s="286"/>
      <c r="R3" s="286"/>
      <c r="S3" s="286"/>
      <c r="T3" s="287"/>
      <c r="U3" s="288"/>
    </row>
    <row r="4" spans="1:32" ht="15.75">
      <c r="A4" s="475" t="s">
        <v>467</v>
      </c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286" t="s">
        <v>468</v>
      </c>
      <c r="M4" s="286"/>
      <c r="N4" s="286"/>
      <c r="O4" s="286"/>
      <c r="P4" s="286"/>
      <c r="Q4" s="286"/>
      <c r="R4" s="286"/>
      <c r="S4" s="286"/>
      <c r="T4" s="287"/>
      <c r="U4" s="290"/>
    </row>
    <row r="5" spans="1:32" ht="15.75">
      <c r="A5" s="475" t="s">
        <v>545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286" t="s">
        <v>469</v>
      </c>
      <c r="M5" s="286"/>
      <c r="N5" s="286" t="s">
        <v>503</v>
      </c>
      <c r="O5" s="286"/>
      <c r="P5" s="286"/>
      <c r="Q5" s="286" t="s">
        <v>503</v>
      </c>
      <c r="R5" s="286"/>
      <c r="S5" s="286" t="s">
        <v>503</v>
      </c>
      <c r="T5" s="287"/>
      <c r="U5" s="288"/>
    </row>
    <row r="6" spans="1:32">
      <c r="A6" s="476" t="s">
        <v>470</v>
      </c>
      <c r="B6" s="473" t="s">
        <v>471</v>
      </c>
      <c r="C6" s="473" t="s">
        <v>472</v>
      </c>
      <c r="D6" s="473" t="s">
        <v>473</v>
      </c>
      <c r="E6" s="477" t="s">
        <v>474</v>
      </c>
      <c r="F6" s="473" t="s">
        <v>475</v>
      </c>
      <c r="G6" s="473" t="s">
        <v>476</v>
      </c>
      <c r="H6" s="473" t="s">
        <v>477</v>
      </c>
      <c r="I6" s="473" t="s">
        <v>478</v>
      </c>
      <c r="J6" s="319"/>
      <c r="K6" s="473" t="s">
        <v>479</v>
      </c>
      <c r="L6" s="473" t="s">
        <v>480</v>
      </c>
      <c r="M6" s="473" t="s">
        <v>525</v>
      </c>
      <c r="N6" s="473" t="s">
        <v>481</v>
      </c>
      <c r="O6" s="473" t="s">
        <v>482</v>
      </c>
      <c r="P6" s="473" t="s">
        <v>483</v>
      </c>
      <c r="Q6" s="473" t="s">
        <v>483</v>
      </c>
      <c r="R6" s="473" t="s">
        <v>484</v>
      </c>
      <c r="S6" s="473" t="s">
        <v>484</v>
      </c>
      <c r="T6" s="473" t="s">
        <v>485</v>
      </c>
      <c r="U6" s="473" t="s">
        <v>486</v>
      </c>
    </row>
    <row r="7" spans="1:32">
      <c r="A7" s="476"/>
      <c r="B7" s="473"/>
      <c r="C7" s="473"/>
      <c r="D7" s="473"/>
      <c r="E7" s="478"/>
      <c r="F7" s="473"/>
      <c r="G7" s="473"/>
      <c r="H7" s="473"/>
      <c r="I7" s="473"/>
      <c r="J7" s="319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4"/>
    </row>
    <row r="8" spans="1:32">
      <c r="A8" s="476"/>
      <c r="B8" s="473"/>
      <c r="C8" s="473"/>
      <c r="D8" s="473"/>
      <c r="E8" s="479"/>
      <c r="F8" s="473"/>
      <c r="G8" s="473"/>
      <c r="H8" s="473"/>
      <c r="I8" s="473"/>
      <c r="J8" s="319"/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4"/>
    </row>
    <row r="9" spans="1:32" ht="44.25" customHeight="1">
      <c r="A9" s="476"/>
      <c r="B9" s="473"/>
      <c r="C9" s="473"/>
      <c r="D9" s="473"/>
      <c r="E9" s="480"/>
      <c r="F9" s="473"/>
      <c r="G9" s="473"/>
      <c r="H9" s="473"/>
      <c r="I9" s="473"/>
      <c r="J9" s="319" t="s">
        <v>547</v>
      </c>
      <c r="K9" s="473"/>
      <c r="L9" s="473"/>
      <c r="M9" s="473"/>
      <c r="N9" s="473"/>
      <c r="O9" s="473"/>
      <c r="P9" s="473"/>
      <c r="Q9" s="473"/>
      <c r="R9" s="473"/>
      <c r="S9" s="473"/>
      <c r="T9" s="473"/>
      <c r="U9" s="474"/>
      <c r="W9" s="289" t="s">
        <v>373</v>
      </c>
      <c r="X9" s="289" t="s">
        <v>504</v>
      </c>
      <c r="Y9" s="289" t="s">
        <v>365</v>
      </c>
      <c r="Z9" s="289" t="s">
        <v>504</v>
      </c>
      <c r="AA9" s="289" t="s">
        <v>366</v>
      </c>
      <c r="AB9" s="289" t="s">
        <v>504</v>
      </c>
      <c r="AC9" s="289" t="s">
        <v>86</v>
      </c>
      <c r="AD9" s="289" t="s">
        <v>504</v>
      </c>
      <c r="AE9" s="289" t="s">
        <v>505</v>
      </c>
      <c r="AF9" s="316" t="s">
        <v>555</v>
      </c>
    </row>
    <row r="10" spans="1:32" s="307" customFormat="1" ht="15">
      <c r="A10" s="302">
        <v>1</v>
      </c>
      <c r="B10" s="303" t="s">
        <v>487</v>
      </c>
      <c r="C10" s="304">
        <v>1</v>
      </c>
      <c r="D10" s="305">
        <v>22325</v>
      </c>
      <c r="E10" s="305">
        <f>C10*D10</f>
        <v>22325</v>
      </c>
      <c r="F10" s="305"/>
      <c r="G10" s="305"/>
      <c r="H10" s="305"/>
      <c r="I10" s="305"/>
      <c r="J10" s="305"/>
      <c r="K10" s="305">
        <f t="shared" ref="K10:K22" si="0">E10+F10+G10+H10+I10+J10</f>
        <v>22325</v>
      </c>
      <c r="L10" s="305">
        <f>K10*12</f>
        <v>267900</v>
      </c>
      <c r="M10" s="305">
        <f>N10*12</f>
        <v>10764</v>
      </c>
      <c r="N10" s="305">
        <v>897</v>
      </c>
      <c r="O10" s="305">
        <f>L10+M10</f>
        <v>278664</v>
      </c>
      <c r="P10" s="305"/>
      <c r="Q10" s="305"/>
      <c r="R10" s="305">
        <v>17325</v>
      </c>
      <c r="S10" s="305">
        <f>R10/12</f>
        <v>1443.75</v>
      </c>
      <c r="T10" s="305">
        <f>P10+R10</f>
        <v>17325</v>
      </c>
      <c r="U10" s="306">
        <f>O10+T10</f>
        <v>295989</v>
      </c>
      <c r="V10" s="289"/>
      <c r="W10" s="307">
        <f>E10*3</f>
        <v>66975</v>
      </c>
      <c r="X10" s="307">
        <f>($F10+$G10+$H10+$I10+$N10+$Q10+$S10)*3</f>
        <v>7022.25</v>
      </c>
      <c r="Y10" s="307">
        <f>E10*6</f>
        <v>133950</v>
      </c>
      <c r="Z10" s="307">
        <f t="shared" ref="Z10:Z32" si="1">($F10+$G10+$H10+$I10+$N10+$Q10+$S10)*6</f>
        <v>14044.5</v>
      </c>
      <c r="AA10" s="307">
        <f>E10*9</f>
        <v>200925</v>
      </c>
      <c r="AB10" s="307">
        <f t="shared" ref="AB10:AB32" si="2">($F10+$G10+$H10+$I10+$N10+$Q10+$S10)*9</f>
        <v>21066.75</v>
      </c>
      <c r="AC10" s="307">
        <f>E10*12</f>
        <v>267900</v>
      </c>
      <c r="AD10" s="307">
        <f t="shared" ref="AD10:AD32" si="3">($F10+$G10+$H10+$I10+$N10+$Q10+$S10)*12</f>
        <v>28089</v>
      </c>
      <c r="AE10" s="307">
        <f>AD10+AC10</f>
        <v>295989</v>
      </c>
      <c r="AF10" s="317">
        <f>(AC10+AD10)/12/C10</f>
        <v>24665.75</v>
      </c>
    </row>
    <row r="11" spans="1:32" s="307" customFormat="1" ht="45.75" customHeight="1">
      <c r="A11" s="302">
        <v>2</v>
      </c>
      <c r="B11" s="308" t="s">
        <v>488</v>
      </c>
      <c r="C11" s="304">
        <v>1</v>
      </c>
      <c r="D11" s="305">
        <f>D10*95%</f>
        <v>21208.75</v>
      </c>
      <c r="E11" s="305">
        <f t="shared" ref="E11:E30" si="4">C11*D11</f>
        <v>21208.75</v>
      </c>
      <c r="F11" s="305"/>
      <c r="G11" s="305"/>
      <c r="H11" s="305"/>
      <c r="I11" s="305"/>
      <c r="J11" s="305"/>
      <c r="K11" s="305">
        <f t="shared" si="0"/>
        <v>21208.75</v>
      </c>
      <c r="L11" s="305">
        <f t="shared" ref="L11:L32" si="5">K11*12</f>
        <v>254505</v>
      </c>
      <c r="M11" s="305">
        <f t="shared" ref="M11:M18" si="6">N11*12</f>
        <v>10764</v>
      </c>
      <c r="N11" s="305">
        <v>897</v>
      </c>
      <c r="O11" s="305">
        <f>L11+M11</f>
        <v>265269</v>
      </c>
      <c r="P11" s="305"/>
      <c r="Q11" s="305"/>
      <c r="R11" s="305">
        <f>R10*95%</f>
        <v>16458.75</v>
      </c>
      <c r="S11" s="305">
        <f t="shared" ref="S11:S32" si="7">R11/12</f>
        <v>1371.5625</v>
      </c>
      <c r="T11" s="305">
        <f t="shared" ref="T11:T32" si="8">P11+R11</f>
        <v>16458.75</v>
      </c>
      <c r="U11" s="306">
        <f t="shared" ref="U11:U31" si="9">O11+T11</f>
        <v>281727.75</v>
      </c>
      <c r="V11" s="289"/>
      <c r="W11" s="307">
        <f t="shared" ref="W11:W32" si="10">E11*3</f>
        <v>63626.25</v>
      </c>
      <c r="X11" s="307">
        <f t="shared" ref="X11:X32" si="11">($F11+$G11+$H11+$I11+$N11+$Q11+$S11)*3</f>
        <v>6805.6875</v>
      </c>
      <c r="Y11" s="307">
        <f t="shared" ref="Y11:Y31" si="12">E11*6</f>
        <v>127252.5</v>
      </c>
      <c r="Z11" s="307">
        <f t="shared" si="1"/>
        <v>13611.375</v>
      </c>
      <c r="AA11" s="307">
        <f t="shared" ref="AA11:AA32" si="13">E11*9</f>
        <v>190878.75</v>
      </c>
      <c r="AB11" s="307">
        <f t="shared" si="2"/>
        <v>20417.0625</v>
      </c>
      <c r="AC11" s="307">
        <f t="shared" ref="AC11:AC32" si="14">E11*12</f>
        <v>254505</v>
      </c>
      <c r="AD11" s="307">
        <f t="shared" si="3"/>
        <v>27222.75</v>
      </c>
      <c r="AE11" s="307">
        <f>AD11+AC11</f>
        <v>281727.75</v>
      </c>
      <c r="AF11" s="317">
        <f t="shared" ref="AF11:AF31" si="15">(AC11+AD11)/12/C11</f>
        <v>23477.3125</v>
      </c>
    </row>
    <row r="12" spans="1:32" s="307" customFormat="1" ht="48" customHeight="1">
      <c r="A12" s="302">
        <v>3</v>
      </c>
      <c r="B12" s="303" t="s">
        <v>519</v>
      </c>
      <c r="C12" s="304">
        <v>1</v>
      </c>
      <c r="D12" s="305">
        <f>D10*95%</f>
        <v>21208.75</v>
      </c>
      <c r="E12" s="305">
        <f t="shared" si="4"/>
        <v>21208.75</v>
      </c>
      <c r="F12" s="305"/>
      <c r="G12" s="305"/>
      <c r="H12" s="305"/>
      <c r="I12" s="305"/>
      <c r="J12" s="305"/>
      <c r="K12" s="305">
        <f t="shared" si="0"/>
        <v>21208.75</v>
      </c>
      <c r="L12" s="305">
        <f t="shared" si="5"/>
        <v>254505</v>
      </c>
      <c r="M12" s="305">
        <f t="shared" si="6"/>
        <v>10764</v>
      </c>
      <c r="N12" s="305">
        <v>897</v>
      </c>
      <c r="O12" s="305">
        <f t="shared" ref="O12:O30" si="16">L12+M12</f>
        <v>265269</v>
      </c>
      <c r="P12" s="305"/>
      <c r="Q12" s="305"/>
      <c r="R12" s="305">
        <f>R10*95%</f>
        <v>16458.75</v>
      </c>
      <c r="S12" s="305">
        <f>R12/12</f>
        <v>1371.5625</v>
      </c>
      <c r="T12" s="305">
        <f>P12+R12</f>
        <v>16458.75</v>
      </c>
      <c r="U12" s="306">
        <f t="shared" si="9"/>
        <v>281727.75</v>
      </c>
      <c r="V12" s="289"/>
      <c r="W12" s="307">
        <f t="shared" si="10"/>
        <v>63626.25</v>
      </c>
      <c r="X12" s="307">
        <f t="shared" si="11"/>
        <v>6805.6875</v>
      </c>
      <c r="Y12" s="307">
        <f t="shared" si="12"/>
        <v>127252.5</v>
      </c>
      <c r="Z12" s="307">
        <f t="shared" si="1"/>
        <v>13611.375</v>
      </c>
      <c r="AA12" s="307">
        <f t="shared" si="13"/>
        <v>190878.75</v>
      </c>
      <c r="AB12" s="307">
        <f t="shared" si="2"/>
        <v>20417.0625</v>
      </c>
      <c r="AC12" s="307">
        <f t="shared" si="14"/>
        <v>254505</v>
      </c>
      <c r="AD12" s="307">
        <f t="shared" si="3"/>
        <v>27222.75</v>
      </c>
      <c r="AE12" s="307">
        <f t="shared" ref="AE12:AE31" si="17">AD12+AC12</f>
        <v>281727.75</v>
      </c>
      <c r="AF12" s="317">
        <f t="shared" si="15"/>
        <v>23477.3125</v>
      </c>
    </row>
    <row r="13" spans="1:32" s="307" customFormat="1" ht="15">
      <c r="A13" s="302">
        <v>4</v>
      </c>
      <c r="B13" s="309" t="s">
        <v>489</v>
      </c>
      <c r="C13" s="304">
        <v>1</v>
      </c>
      <c r="D13" s="305">
        <f>D10*90%</f>
        <v>20092.5</v>
      </c>
      <c r="E13" s="305">
        <f t="shared" si="4"/>
        <v>20092.5</v>
      </c>
      <c r="F13" s="305"/>
      <c r="G13" s="305"/>
      <c r="H13" s="305"/>
      <c r="I13" s="305"/>
      <c r="J13" s="305"/>
      <c r="K13" s="305">
        <f t="shared" si="0"/>
        <v>20092.5</v>
      </c>
      <c r="L13" s="305">
        <f t="shared" si="5"/>
        <v>241110</v>
      </c>
      <c r="M13" s="305">
        <f t="shared" si="6"/>
        <v>10764</v>
      </c>
      <c r="N13" s="305">
        <v>897</v>
      </c>
      <c r="O13" s="305">
        <f t="shared" si="16"/>
        <v>251874</v>
      </c>
      <c r="P13" s="305"/>
      <c r="Q13" s="305"/>
      <c r="R13" s="305">
        <f>R10*90%</f>
        <v>15592.5</v>
      </c>
      <c r="S13" s="305">
        <f t="shared" si="7"/>
        <v>1299.375</v>
      </c>
      <c r="T13" s="305">
        <f t="shared" si="8"/>
        <v>15592.5</v>
      </c>
      <c r="U13" s="306">
        <f t="shared" si="9"/>
        <v>267466.5</v>
      </c>
      <c r="V13" s="289"/>
      <c r="W13" s="307">
        <f t="shared" si="10"/>
        <v>60277.5</v>
      </c>
      <c r="X13" s="307">
        <f t="shared" si="11"/>
        <v>6589.125</v>
      </c>
      <c r="Y13" s="307">
        <f t="shared" si="12"/>
        <v>120555</v>
      </c>
      <c r="Z13" s="307">
        <f t="shared" si="1"/>
        <v>13178.25</v>
      </c>
      <c r="AA13" s="307">
        <f t="shared" si="13"/>
        <v>180832.5</v>
      </c>
      <c r="AB13" s="307">
        <f t="shared" si="2"/>
        <v>19767.375</v>
      </c>
      <c r="AC13" s="307">
        <f t="shared" si="14"/>
        <v>241110</v>
      </c>
      <c r="AD13" s="307">
        <f t="shared" si="3"/>
        <v>26356.5</v>
      </c>
      <c r="AE13" s="307">
        <f t="shared" si="17"/>
        <v>267466.5</v>
      </c>
      <c r="AF13" s="317">
        <f t="shared" si="15"/>
        <v>22288.875</v>
      </c>
    </row>
    <row r="14" spans="1:32" s="307" customFormat="1" ht="40.5" customHeight="1">
      <c r="A14" s="302">
        <v>5</v>
      </c>
      <c r="B14" s="310" t="s">
        <v>490</v>
      </c>
      <c r="C14" s="304">
        <v>1</v>
      </c>
      <c r="D14" s="305">
        <v>15628</v>
      </c>
      <c r="E14" s="305">
        <f t="shared" si="4"/>
        <v>15628</v>
      </c>
      <c r="F14" s="305"/>
      <c r="G14" s="305"/>
      <c r="H14" s="305"/>
      <c r="I14" s="305"/>
      <c r="J14" s="305"/>
      <c r="K14" s="305">
        <f t="shared" si="0"/>
        <v>15628</v>
      </c>
      <c r="L14" s="305">
        <f t="shared" si="5"/>
        <v>187536</v>
      </c>
      <c r="M14" s="305">
        <f t="shared" si="6"/>
        <v>10764</v>
      </c>
      <c r="N14" s="305">
        <v>897</v>
      </c>
      <c r="O14" s="305">
        <f t="shared" si="16"/>
        <v>198300</v>
      </c>
      <c r="P14" s="305"/>
      <c r="Q14" s="305"/>
      <c r="R14" s="305">
        <v>13270</v>
      </c>
      <c r="S14" s="305">
        <f t="shared" si="7"/>
        <v>1105.8333333333333</v>
      </c>
      <c r="T14" s="305">
        <f t="shared" si="8"/>
        <v>13270</v>
      </c>
      <c r="U14" s="306">
        <f t="shared" si="9"/>
        <v>211570</v>
      </c>
      <c r="V14" s="289"/>
      <c r="W14" s="307">
        <f t="shared" si="10"/>
        <v>46884</v>
      </c>
      <c r="X14" s="307">
        <f t="shared" si="11"/>
        <v>6008.5</v>
      </c>
      <c r="Y14" s="307">
        <f t="shared" si="12"/>
        <v>93768</v>
      </c>
      <c r="Z14" s="307">
        <f t="shared" si="1"/>
        <v>12017</v>
      </c>
      <c r="AA14" s="307">
        <f t="shared" si="13"/>
        <v>140652</v>
      </c>
      <c r="AB14" s="307">
        <f t="shared" si="2"/>
        <v>18025.5</v>
      </c>
      <c r="AC14" s="307">
        <f t="shared" si="14"/>
        <v>187536</v>
      </c>
      <c r="AD14" s="307">
        <f t="shared" si="3"/>
        <v>24034</v>
      </c>
      <c r="AE14" s="307">
        <f t="shared" si="17"/>
        <v>211570</v>
      </c>
      <c r="AF14" s="317">
        <f t="shared" si="15"/>
        <v>17630.833333333332</v>
      </c>
    </row>
    <row r="15" spans="1:32" s="307" customFormat="1" ht="15">
      <c r="A15" s="302">
        <v>6</v>
      </c>
      <c r="B15" s="309" t="s">
        <v>492</v>
      </c>
      <c r="C15" s="304">
        <v>1</v>
      </c>
      <c r="D15" s="305">
        <v>4859</v>
      </c>
      <c r="E15" s="305">
        <v>4859</v>
      </c>
      <c r="F15" s="305"/>
      <c r="G15" s="305">
        <f>E15/2</f>
        <v>2429.5</v>
      </c>
      <c r="H15" s="305"/>
      <c r="I15" s="305"/>
      <c r="J15" s="305"/>
      <c r="K15" s="305">
        <f t="shared" si="0"/>
        <v>7288.5</v>
      </c>
      <c r="L15" s="305">
        <f t="shared" si="5"/>
        <v>87462</v>
      </c>
      <c r="M15" s="305">
        <f t="shared" si="6"/>
        <v>10764</v>
      </c>
      <c r="N15" s="305">
        <v>897</v>
      </c>
      <c r="O15" s="305">
        <f t="shared" si="16"/>
        <v>98226</v>
      </c>
      <c r="P15" s="305">
        <v>7200.1</v>
      </c>
      <c r="Q15" s="305">
        <f>P15/12</f>
        <v>600.00833333333333</v>
      </c>
      <c r="R15" s="305">
        <v>3826</v>
      </c>
      <c r="S15" s="305">
        <f t="shared" si="7"/>
        <v>318.83333333333331</v>
      </c>
      <c r="T15" s="305">
        <f>P15+R15</f>
        <v>11026.1</v>
      </c>
      <c r="U15" s="306">
        <f>O15+T15</f>
        <v>109252.1</v>
      </c>
      <c r="V15" s="289"/>
      <c r="W15" s="307">
        <f t="shared" si="10"/>
        <v>14577</v>
      </c>
      <c r="X15" s="307">
        <f t="shared" si="11"/>
        <v>12736.024999999998</v>
      </c>
      <c r="Y15" s="307">
        <f t="shared" si="12"/>
        <v>29154</v>
      </c>
      <c r="Z15" s="307">
        <f t="shared" si="1"/>
        <v>25472.049999999996</v>
      </c>
      <c r="AA15" s="307">
        <f t="shared" si="13"/>
        <v>43731</v>
      </c>
      <c r="AB15" s="307">
        <f t="shared" si="2"/>
        <v>38208.074999999997</v>
      </c>
      <c r="AC15" s="307">
        <f t="shared" si="14"/>
        <v>58308</v>
      </c>
      <c r="AD15" s="307">
        <f t="shared" si="3"/>
        <v>50944.099999999991</v>
      </c>
      <c r="AE15" s="307">
        <f t="shared" si="17"/>
        <v>109252.09999999999</v>
      </c>
      <c r="AF15" s="317">
        <f>(AC15+AD15)/12/C15</f>
        <v>9104.3416666666653</v>
      </c>
    </row>
    <row r="16" spans="1:32" s="307" customFormat="1" ht="15">
      <c r="A16" s="302">
        <v>7</v>
      </c>
      <c r="B16" s="309" t="s">
        <v>493</v>
      </c>
      <c r="C16" s="304">
        <v>1</v>
      </c>
      <c r="D16" s="305">
        <v>4859</v>
      </c>
      <c r="E16" s="305">
        <v>4859</v>
      </c>
      <c r="F16" s="305"/>
      <c r="G16" s="305">
        <f t="shared" ref="G16:G28" si="18">E16/2</f>
        <v>2429.5</v>
      </c>
      <c r="H16" s="305"/>
      <c r="I16" s="305"/>
      <c r="J16" s="305"/>
      <c r="K16" s="305">
        <f t="shared" si="0"/>
        <v>7288.5</v>
      </c>
      <c r="L16" s="305">
        <f t="shared" si="5"/>
        <v>87462</v>
      </c>
      <c r="M16" s="305">
        <f t="shared" si="6"/>
        <v>10764</v>
      </c>
      <c r="N16" s="305">
        <v>897</v>
      </c>
      <c r="O16" s="305">
        <f t="shared" si="16"/>
        <v>98226</v>
      </c>
      <c r="P16" s="305">
        <v>7200</v>
      </c>
      <c r="Q16" s="305">
        <f t="shared" ref="Q16:Q31" si="19">P16/12</f>
        <v>600</v>
      </c>
      <c r="R16" s="305">
        <v>3826</v>
      </c>
      <c r="S16" s="305">
        <f t="shared" si="7"/>
        <v>318.83333333333331</v>
      </c>
      <c r="T16" s="305">
        <f t="shared" si="8"/>
        <v>11026</v>
      </c>
      <c r="U16" s="306">
        <f t="shared" si="9"/>
        <v>109252</v>
      </c>
      <c r="V16" s="289"/>
      <c r="W16" s="307">
        <f t="shared" si="10"/>
        <v>14577</v>
      </c>
      <c r="X16" s="307">
        <f t="shared" si="11"/>
        <v>12736</v>
      </c>
      <c r="Y16" s="307">
        <f t="shared" si="12"/>
        <v>29154</v>
      </c>
      <c r="Z16" s="307">
        <f t="shared" si="1"/>
        <v>25472</v>
      </c>
      <c r="AA16" s="307">
        <f t="shared" si="13"/>
        <v>43731</v>
      </c>
      <c r="AB16" s="307">
        <f t="shared" si="2"/>
        <v>38208</v>
      </c>
      <c r="AC16" s="307">
        <f t="shared" si="14"/>
        <v>58308</v>
      </c>
      <c r="AD16" s="307">
        <f t="shared" si="3"/>
        <v>50944</v>
      </c>
      <c r="AE16" s="307">
        <f t="shared" si="17"/>
        <v>109252</v>
      </c>
      <c r="AF16" s="317">
        <f t="shared" si="15"/>
        <v>9104.3333333333339</v>
      </c>
    </row>
    <row r="17" spans="1:32" s="307" customFormat="1" ht="15">
      <c r="A17" s="302">
        <v>8</v>
      </c>
      <c r="B17" s="309" t="s">
        <v>494</v>
      </c>
      <c r="C17" s="304">
        <v>1</v>
      </c>
      <c r="D17" s="305">
        <v>4859</v>
      </c>
      <c r="E17" s="305">
        <v>4859</v>
      </c>
      <c r="F17" s="305"/>
      <c r="G17" s="305">
        <f t="shared" si="18"/>
        <v>2429.5</v>
      </c>
      <c r="H17" s="305"/>
      <c r="I17" s="305"/>
      <c r="J17" s="305"/>
      <c r="K17" s="305">
        <f t="shared" si="0"/>
        <v>7288.5</v>
      </c>
      <c r="L17" s="305">
        <f t="shared" si="5"/>
        <v>87462</v>
      </c>
      <c r="M17" s="305">
        <f t="shared" si="6"/>
        <v>10764</v>
      </c>
      <c r="N17" s="305">
        <v>897</v>
      </c>
      <c r="O17" s="305">
        <f t="shared" si="16"/>
        <v>98226</v>
      </c>
      <c r="P17" s="305">
        <v>7200</v>
      </c>
      <c r="Q17" s="305">
        <f t="shared" si="19"/>
        <v>600</v>
      </c>
      <c r="R17" s="305">
        <v>3826</v>
      </c>
      <c r="S17" s="305">
        <f t="shared" si="7"/>
        <v>318.83333333333331</v>
      </c>
      <c r="T17" s="305">
        <f t="shared" si="8"/>
        <v>11026</v>
      </c>
      <c r="U17" s="306">
        <f t="shared" si="9"/>
        <v>109252</v>
      </c>
      <c r="V17" s="289"/>
      <c r="W17" s="307">
        <f t="shared" si="10"/>
        <v>14577</v>
      </c>
      <c r="X17" s="307">
        <f t="shared" si="11"/>
        <v>12736</v>
      </c>
      <c r="Y17" s="307">
        <f t="shared" si="12"/>
        <v>29154</v>
      </c>
      <c r="Z17" s="307">
        <f t="shared" si="1"/>
        <v>25472</v>
      </c>
      <c r="AA17" s="307">
        <f t="shared" si="13"/>
        <v>43731</v>
      </c>
      <c r="AB17" s="307">
        <f t="shared" si="2"/>
        <v>38208</v>
      </c>
      <c r="AC17" s="307">
        <f t="shared" si="14"/>
        <v>58308</v>
      </c>
      <c r="AD17" s="307">
        <f t="shared" si="3"/>
        <v>50944</v>
      </c>
      <c r="AE17" s="307">
        <f t="shared" si="17"/>
        <v>109252</v>
      </c>
      <c r="AF17" s="317">
        <f t="shared" si="15"/>
        <v>9104.3333333333339</v>
      </c>
    </row>
    <row r="18" spans="1:32" s="307" customFormat="1" ht="15">
      <c r="A18" s="302">
        <v>9</v>
      </c>
      <c r="B18" s="309" t="s">
        <v>495</v>
      </c>
      <c r="C18" s="304">
        <v>1</v>
      </c>
      <c r="D18" s="305">
        <v>4859</v>
      </c>
      <c r="E18" s="305">
        <v>4859</v>
      </c>
      <c r="F18" s="305"/>
      <c r="G18" s="305">
        <f>E18/2</f>
        <v>2429.5</v>
      </c>
      <c r="H18" s="305"/>
      <c r="I18" s="305"/>
      <c r="J18" s="305"/>
      <c r="K18" s="305">
        <f t="shared" si="0"/>
        <v>7288.5</v>
      </c>
      <c r="L18" s="305">
        <f t="shared" si="5"/>
        <v>87462</v>
      </c>
      <c r="M18" s="305">
        <f t="shared" si="6"/>
        <v>10764</v>
      </c>
      <c r="N18" s="305">
        <v>897</v>
      </c>
      <c r="O18" s="305">
        <f t="shared" si="16"/>
        <v>98226</v>
      </c>
      <c r="P18" s="305">
        <v>7200</v>
      </c>
      <c r="Q18" s="305">
        <f t="shared" si="19"/>
        <v>600</v>
      </c>
      <c r="R18" s="305">
        <v>3826</v>
      </c>
      <c r="S18" s="305">
        <f>R18/12</f>
        <v>318.83333333333331</v>
      </c>
      <c r="T18" s="305">
        <f t="shared" si="8"/>
        <v>11026</v>
      </c>
      <c r="U18" s="306">
        <f t="shared" si="9"/>
        <v>109252</v>
      </c>
      <c r="V18" s="289"/>
      <c r="W18" s="307">
        <f t="shared" si="10"/>
        <v>14577</v>
      </c>
      <c r="X18" s="307">
        <f t="shared" si="11"/>
        <v>12736</v>
      </c>
      <c r="Y18" s="307">
        <f t="shared" si="12"/>
        <v>29154</v>
      </c>
      <c r="Z18" s="307">
        <f t="shared" si="1"/>
        <v>25472</v>
      </c>
      <c r="AA18" s="307">
        <f t="shared" si="13"/>
        <v>43731</v>
      </c>
      <c r="AB18" s="307">
        <f t="shared" si="2"/>
        <v>38208</v>
      </c>
      <c r="AC18" s="307">
        <f t="shared" si="14"/>
        <v>58308</v>
      </c>
      <c r="AD18" s="307">
        <f t="shared" si="3"/>
        <v>50944</v>
      </c>
      <c r="AE18" s="307">
        <f t="shared" si="17"/>
        <v>109252</v>
      </c>
      <c r="AF18" s="317">
        <f t="shared" si="15"/>
        <v>9104.3333333333339</v>
      </c>
    </row>
    <row r="19" spans="1:32" s="307" customFormat="1" ht="15">
      <c r="A19" s="302">
        <v>10</v>
      </c>
      <c r="B19" s="310" t="s">
        <v>497</v>
      </c>
      <c r="C19" s="304">
        <v>2</v>
      </c>
      <c r="D19" s="305">
        <v>4619</v>
      </c>
      <c r="E19" s="305">
        <f>C19*D19</f>
        <v>9238</v>
      </c>
      <c r="F19" s="305"/>
      <c r="G19" s="305">
        <f>E19/2</f>
        <v>4619</v>
      </c>
      <c r="H19" s="305"/>
      <c r="I19" s="305"/>
      <c r="J19" s="305"/>
      <c r="K19" s="305">
        <f t="shared" si="0"/>
        <v>13857</v>
      </c>
      <c r="L19" s="305">
        <f t="shared" si="5"/>
        <v>166284</v>
      </c>
      <c r="M19" s="305">
        <f>N19*12</f>
        <v>52176</v>
      </c>
      <c r="N19" s="305">
        <v>4348</v>
      </c>
      <c r="O19" s="305">
        <f>L19+M19</f>
        <v>218460</v>
      </c>
      <c r="P19" s="305">
        <v>7200</v>
      </c>
      <c r="Q19" s="305">
        <f t="shared" si="19"/>
        <v>600</v>
      </c>
      <c r="R19" s="305">
        <v>3636</v>
      </c>
      <c r="S19" s="305">
        <f t="shared" si="7"/>
        <v>303</v>
      </c>
      <c r="T19" s="305">
        <f t="shared" si="8"/>
        <v>10836</v>
      </c>
      <c r="U19" s="306">
        <f t="shared" si="9"/>
        <v>229296</v>
      </c>
      <c r="V19" s="289"/>
      <c r="W19" s="307">
        <f t="shared" si="10"/>
        <v>27714</v>
      </c>
      <c r="X19" s="307">
        <f t="shared" si="11"/>
        <v>29610</v>
      </c>
      <c r="Y19" s="307">
        <f t="shared" si="12"/>
        <v>55428</v>
      </c>
      <c r="Z19" s="307">
        <f t="shared" si="1"/>
        <v>59220</v>
      </c>
      <c r="AA19" s="307">
        <f t="shared" si="13"/>
        <v>83142</v>
      </c>
      <c r="AB19" s="307">
        <f t="shared" si="2"/>
        <v>88830</v>
      </c>
      <c r="AC19" s="307">
        <f t="shared" si="14"/>
        <v>110856</v>
      </c>
      <c r="AD19" s="307">
        <f t="shared" si="3"/>
        <v>118440</v>
      </c>
      <c r="AE19" s="307">
        <f t="shared" si="17"/>
        <v>229296</v>
      </c>
      <c r="AF19" s="317">
        <f t="shared" si="15"/>
        <v>9554</v>
      </c>
    </row>
    <row r="20" spans="1:32" ht="36.75" customHeight="1">
      <c r="A20" s="268">
        <v>11</v>
      </c>
      <c r="B20" s="293" t="s">
        <v>491</v>
      </c>
      <c r="C20" s="291">
        <v>1</v>
      </c>
      <c r="D20" s="276">
        <v>4859</v>
      </c>
      <c r="E20" s="276">
        <f t="shared" si="4"/>
        <v>4859</v>
      </c>
      <c r="F20" s="276"/>
      <c r="G20" s="276">
        <f t="shared" si="18"/>
        <v>2429.5</v>
      </c>
      <c r="H20" s="276"/>
      <c r="I20" s="276"/>
      <c r="J20" s="276"/>
      <c r="K20" s="305">
        <f t="shared" si="0"/>
        <v>7288.5</v>
      </c>
      <c r="L20" s="276">
        <f t="shared" si="5"/>
        <v>87462</v>
      </c>
      <c r="M20" s="276">
        <f>N20*12</f>
        <v>10764</v>
      </c>
      <c r="N20" s="276">
        <v>897</v>
      </c>
      <c r="O20" s="276">
        <f t="shared" si="16"/>
        <v>98226</v>
      </c>
      <c r="P20" s="276">
        <v>7200</v>
      </c>
      <c r="Q20" s="276">
        <f t="shared" si="19"/>
        <v>600</v>
      </c>
      <c r="R20" s="276">
        <v>3826</v>
      </c>
      <c r="S20" s="276">
        <f t="shared" si="7"/>
        <v>318.83333333333331</v>
      </c>
      <c r="T20" s="276">
        <f t="shared" si="8"/>
        <v>11026</v>
      </c>
      <c r="U20" s="292">
        <f t="shared" si="9"/>
        <v>109252</v>
      </c>
      <c r="W20" s="289">
        <f t="shared" si="10"/>
        <v>14577</v>
      </c>
      <c r="X20" s="289">
        <f t="shared" si="11"/>
        <v>12736</v>
      </c>
      <c r="Y20" s="289">
        <f t="shared" si="12"/>
        <v>29154</v>
      </c>
      <c r="Z20" s="289">
        <f t="shared" si="1"/>
        <v>25472</v>
      </c>
      <c r="AA20" s="289">
        <f t="shared" si="13"/>
        <v>43731</v>
      </c>
      <c r="AB20" s="289">
        <f t="shared" si="2"/>
        <v>38208</v>
      </c>
      <c r="AC20" s="289">
        <f t="shared" si="14"/>
        <v>58308</v>
      </c>
      <c r="AD20" s="289">
        <f t="shared" si="3"/>
        <v>50944</v>
      </c>
      <c r="AE20" s="289">
        <f t="shared" si="17"/>
        <v>109252</v>
      </c>
      <c r="AF20" s="317">
        <f t="shared" si="15"/>
        <v>9104.3333333333339</v>
      </c>
    </row>
    <row r="21" spans="1:32" ht="45" customHeight="1">
      <c r="A21" s="268">
        <v>12</v>
      </c>
      <c r="B21" s="310" t="s">
        <v>498</v>
      </c>
      <c r="C21" s="291">
        <v>1</v>
      </c>
      <c r="D21" s="276">
        <v>4619</v>
      </c>
      <c r="E21" s="276">
        <f t="shared" si="4"/>
        <v>4619</v>
      </c>
      <c r="F21" s="276"/>
      <c r="G21" s="276">
        <f t="shared" si="18"/>
        <v>2309.5</v>
      </c>
      <c r="H21" s="276"/>
      <c r="I21" s="276"/>
      <c r="J21" s="276"/>
      <c r="K21" s="305">
        <f t="shared" si="0"/>
        <v>6928.5</v>
      </c>
      <c r="L21" s="276">
        <f t="shared" si="5"/>
        <v>83142</v>
      </c>
      <c r="M21" s="276">
        <f t="shared" ref="M21:M32" si="20">N21*12</f>
        <v>13044</v>
      </c>
      <c r="N21" s="276">
        <v>1087</v>
      </c>
      <c r="O21" s="276">
        <f t="shared" si="16"/>
        <v>96186</v>
      </c>
      <c r="P21" s="276">
        <v>14400</v>
      </c>
      <c r="Q21" s="276">
        <f t="shared" si="19"/>
        <v>1200</v>
      </c>
      <c r="R21" s="276">
        <v>3636</v>
      </c>
      <c r="S21" s="276">
        <f t="shared" si="7"/>
        <v>303</v>
      </c>
      <c r="T21" s="276">
        <f t="shared" si="8"/>
        <v>18036</v>
      </c>
      <c r="U21" s="292">
        <f t="shared" si="9"/>
        <v>114222</v>
      </c>
      <c r="W21" s="289">
        <f t="shared" si="10"/>
        <v>13857</v>
      </c>
      <c r="X21" s="289">
        <f t="shared" si="11"/>
        <v>14698.5</v>
      </c>
      <c r="Y21" s="289">
        <f t="shared" si="12"/>
        <v>27714</v>
      </c>
      <c r="Z21" s="289">
        <f t="shared" si="1"/>
        <v>29397</v>
      </c>
      <c r="AA21" s="289">
        <f t="shared" si="13"/>
        <v>41571</v>
      </c>
      <c r="AB21" s="289">
        <f t="shared" si="2"/>
        <v>44095.5</v>
      </c>
      <c r="AC21" s="289">
        <f t="shared" si="14"/>
        <v>55428</v>
      </c>
      <c r="AD21" s="289">
        <f t="shared" si="3"/>
        <v>58794</v>
      </c>
      <c r="AE21" s="289">
        <f t="shared" si="17"/>
        <v>114222</v>
      </c>
      <c r="AF21" s="317">
        <f t="shared" si="15"/>
        <v>9518.5</v>
      </c>
    </row>
    <row r="22" spans="1:32" ht="15">
      <c r="A22" s="268">
        <v>13</v>
      </c>
      <c r="B22" s="293" t="s">
        <v>499</v>
      </c>
      <c r="C22" s="291">
        <v>4</v>
      </c>
      <c r="D22" s="276">
        <v>4379</v>
      </c>
      <c r="E22" s="276">
        <f t="shared" si="4"/>
        <v>17516</v>
      </c>
      <c r="F22" s="276"/>
      <c r="G22" s="276">
        <f>E22/2</f>
        <v>8758</v>
      </c>
      <c r="H22" s="276"/>
      <c r="I22" s="276"/>
      <c r="J22" s="276"/>
      <c r="K22" s="305">
        <f t="shared" si="0"/>
        <v>26274</v>
      </c>
      <c r="L22" s="276">
        <f t="shared" si="5"/>
        <v>315288</v>
      </c>
      <c r="M22" s="276">
        <f>N22*12</f>
        <v>61248</v>
      </c>
      <c r="N22" s="276">
        <v>5104</v>
      </c>
      <c r="O22" s="276">
        <f t="shared" si="16"/>
        <v>376536</v>
      </c>
      <c r="P22" s="276">
        <v>7200</v>
      </c>
      <c r="Q22" s="276">
        <f t="shared" si="19"/>
        <v>600</v>
      </c>
      <c r="R22" s="276">
        <v>3447</v>
      </c>
      <c r="S22" s="276">
        <f t="shared" si="7"/>
        <v>287.25</v>
      </c>
      <c r="T22" s="276">
        <f t="shared" si="8"/>
        <v>10647</v>
      </c>
      <c r="U22" s="292">
        <f t="shared" si="9"/>
        <v>387183</v>
      </c>
      <c r="W22" s="289">
        <f>E22*3</f>
        <v>52548</v>
      </c>
      <c r="X22" s="289">
        <f t="shared" si="11"/>
        <v>44247.75</v>
      </c>
      <c r="Y22" s="289">
        <f t="shared" si="12"/>
        <v>105096</v>
      </c>
      <c r="Z22" s="289">
        <f t="shared" si="1"/>
        <v>88495.5</v>
      </c>
      <c r="AA22" s="289">
        <f t="shared" si="13"/>
        <v>157644</v>
      </c>
      <c r="AB22" s="289">
        <f t="shared" si="2"/>
        <v>132743.25</v>
      </c>
      <c r="AC22" s="289">
        <f t="shared" si="14"/>
        <v>210192</v>
      </c>
      <c r="AD22" s="289">
        <f t="shared" si="3"/>
        <v>176991</v>
      </c>
      <c r="AE22" s="289">
        <f t="shared" si="17"/>
        <v>387183</v>
      </c>
      <c r="AF22" s="317">
        <f t="shared" si="15"/>
        <v>8066.3125</v>
      </c>
    </row>
    <row r="23" spans="1:32" ht="15">
      <c r="A23" s="268">
        <v>14</v>
      </c>
      <c r="B23" s="293" t="s">
        <v>500</v>
      </c>
      <c r="C23" s="291">
        <v>1</v>
      </c>
      <c r="D23" s="276">
        <v>4112</v>
      </c>
      <c r="E23" s="276">
        <f t="shared" si="4"/>
        <v>4112</v>
      </c>
      <c r="F23" s="276"/>
      <c r="G23" s="276">
        <f t="shared" si="18"/>
        <v>2056</v>
      </c>
      <c r="H23" s="276"/>
      <c r="I23" s="276"/>
      <c r="J23" s="276"/>
      <c r="K23" s="305">
        <f t="shared" ref="K23" si="21">E23+F23+G23+H23+I23+J23</f>
        <v>6168</v>
      </c>
      <c r="L23" s="276">
        <f t="shared" si="5"/>
        <v>74016</v>
      </c>
      <c r="M23" s="276">
        <f t="shared" si="20"/>
        <v>17832</v>
      </c>
      <c r="N23" s="276">
        <v>1486</v>
      </c>
      <c r="O23" s="276">
        <f t="shared" si="16"/>
        <v>91848</v>
      </c>
      <c r="P23" s="276">
        <v>21600</v>
      </c>
      <c r="Q23" s="276">
        <f t="shared" si="19"/>
        <v>1800</v>
      </c>
      <c r="R23" s="276">
        <v>3237</v>
      </c>
      <c r="S23" s="276">
        <f t="shared" si="7"/>
        <v>269.75</v>
      </c>
      <c r="T23" s="276">
        <f t="shared" si="8"/>
        <v>24837</v>
      </c>
      <c r="U23" s="292">
        <f t="shared" si="9"/>
        <v>116685</v>
      </c>
      <c r="W23" s="289">
        <f t="shared" si="10"/>
        <v>12336</v>
      </c>
      <c r="X23" s="289">
        <f t="shared" si="11"/>
        <v>16835.25</v>
      </c>
      <c r="Y23" s="289">
        <f t="shared" si="12"/>
        <v>24672</v>
      </c>
      <c r="Z23" s="289">
        <f t="shared" si="1"/>
        <v>33670.5</v>
      </c>
      <c r="AA23" s="289">
        <f t="shared" si="13"/>
        <v>37008</v>
      </c>
      <c r="AB23" s="289">
        <f t="shared" si="2"/>
        <v>50505.75</v>
      </c>
      <c r="AC23" s="289">
        <f t="shared" si="14"/>
        <v>49344</v>
      </c>
      <c r="AD23" s="289">
        <f t="shared" si="3"/>
        <v>67341</v>
      </c>
      <c r="AE23" s="289">
        <f t="shared" si="17"/>
        <v>116685</v>
      </c>
      <c r="AF23" s="317">
        <f t="shared" si="15"/>
        <v>9723.75</v>
      </c>
    </row>
    <row r="24" spans="1:32" s="307" customFormat="1" ht="15">
      <c r="A24" s="302">
        <v>15</v>
      </c>
      <c r="B24" s="310" t="s">
        <v>546</v>
      </c>
      <c r="C24" s="304">
        <v>1</v>
      </c>
      <c r="D24" s="305">
        <v>4112</v>
      </c>
      <c r="E24" s="305">
        <f t="shared" si="4"/>
        <v>4112</v>
      </c>
      <c r="F24" s="305"/>
      <c r="G24" s="305">
        <f t="shared" si="18"/>
        <v>2056</v>
      </c>
      <c r="H24" s="305"/>
      <c r="I24" s="305"/>
      <c r="J24" s="305"/>
      <c r="K24" s="305">
        <f t="shared" ref="K24:K32" si="22">E24+F24+G24+H24+I24+J24</f>
        <v>6168</v>
      </c>
      <c r="L24" s="305">
        <f t="shared" si="5"/>
        <v>74016</v>
      </c>
      <c r="M24" s="305">
        <f t="shared" si="20"/>
        <v>17832</v>
      </c>
      <c r="N24" s="305">
        <v>1486</v>
      </c>
      <c r="O24" s="305">
        <f t="shared" si="16"/>
        <v>91848</v>
      </c>
      <c r="P24" s="305">
        <v>7200</v>
      </c>
      <c r="Q24" s="305">
        <f t="shared" si="19"/>
        <v>600</v>
      </c>
      <c r="R24" s="305">
        <v>3237</v>
      </c>
      <c r="S24" s="305">
        <f t="shared" si="7"/>
        <v>269.75</v>
      </c>
      <c r="T24" s="305">
        <f t="shared" si="8"/>
        <v>10437</v>
      </c>
      <c r="U24" s="306">
        <f t="shared" si="9"/>
        <v>102285</v>
      </c>
      <c r="V24" s="289"/>
      <c r="W24" s="307">
        <f t="shared" si="10"/>
        <v>12336</v>
      </c>
      <c r="X24" s="307">
        <f t="shared" si="11"/>
        <v>13235.25</v>
      </c>
      <c r="Y24" s="307">
        <f t="shared" si="12"/>
        <v>24672</v>
      </c>
      <c r="Z24" s="307">
        <f t="shared" si="1"/>
        <v>26470.5</v>
      </c>
      <c r="AA24" s="307">
        <f t="shared" si="13"/>
        <v>37008</v>
      </c>
      <c r="AB24" s="307">
        <f t="shared" si="2"/>
        <v>39705.75</v>
      </c>
      <c r="AC24" s="307">
        <f t="shared" si="14"/>
        <v>49344</v>
      </c>
      <c r="AD24" s="307">
        <f t="shared" si="3"/>
        <v>52941</v>
      </c>
      <c r="AE24" s="307">
        <f t="shared" si="17"/>
        <v>102285</v>
      </c>
      <c r="AF24" s="317">
        <f t="shared" si="15"/>
        <v>8523.75</v>
      </c>
    </row>
    <row r="25" spans="1:32" ht="15">
      <c r="A25" s="268">
        <v>16</v>
      </c>
      <c r="B25" s="293" t="s">
        <v>520</v>
      </c>
      <c r="C25" s="291">
        <v>1</v>
      </c>
      <c r="D25" s="276">
        <v>4112</v>
      </c>
      <c r="E25" s="276">
        <f t="shared" si="4"/>
        <v>4112</v>
      </c>
      <c r="F25" s="276"/>
      <c r="G25" s="276">
        <f t="shared" si="18"/>
        <v>2056</v>
      </c>
      <c r="H25" s="276"/>
      <c r="I25" s="276"/>
      <c r="J25" s="276"/>
      <c r="K25" s="305">
        <f t="shared" si="22"/>
        <v>6168</v>
      </c>
      <c r="L25" s="276">
        <f t="shared" si="5"/>
        <v>74016</v>
      </c>
      <c r="M25" s="276">
        <f t="shared" si="20"/>
        <v>17832</v>
      </c>
      <c r="N25" s="276">
        <v>1486</v>
      </c>
      <c r="O25" s="276">
        <f t="shared" si="16"/>
        <v>91848</v>
      </c>
      <c r="P25" s="276">
        <v>7200</v>
      </c>
      <c r="Q25" s="276">
        <f t="shared" si="19"/>
        <v>600</v>
      </c>
      <c r="R25" s="276">
        <v>3237</v>
      </c>
      <c r="S25" s="276">
        <f t="shared" si="7"/>
        <v>269.75</v>
      </c>
      <c r="T25" s="276">
        <f t="shared" si="8"/>
        <v>10437</v>
      </c>
      <c r="U25" s="292">
        <f t="shared" si="9"/>
        <v>102285</v>
      </c>
      <c r="W25" s="289">
        <f t="shared" si="10"/>
        <v>12336</v>
      </c>
      <c r="X25" s="289">
        <f t="shared" si="11"/>
        <v>13235.25</v>
      </c>
      <c r="Y25" s="289">
        <f t="shared" si="12"/>
        <v>24672</v>
      </c>
      <c r="Z25" s="289">
        <f t="shared" si="1"/>
        <v>26470.5</v>
      </c>
      <c r="AA25" s="289">
        <f t="shared" si="13"/>
        <v>37008</v>
      </c>
      <c r="AB25" s="289">
        <f t="shared" si="2"/>
        <v>39705.75</v>
      </c>
      <c r="AC25" s="289">
        <f t="shared" si="14"/>
        <v>49344</v>
      </c>
      <c r="AD25" s="289">
        <f t="shared" si="3"/>
        <v>52941</v>
      </c>
      <c r="AE25" s="289">
        <f t="shared" si="17"/>
        <v>102285</v>
      </c>
      <c r="AF25" s="317">
        <f t="shared" si="15"/>
        <v>8523.75</v>
      </c>
    </row>
    <row r="26" spans="1:32" ht="33.75" customHeight="1">
      <c r="A26" s="268">
        <v>17</v>
      </c>
      <c r="B26" s="293" t="s">
        <v>521</v>
      </c>
      <c r="C26" s="291">
        <v>1</v>
      </c>
      <c r="D26" s="276">
        <v>4112</v>
      </c>
      <c r="E26" s="276">
        <f t="shared" si="4"/>
        <v>4112</v>
      </c>
      <c r="F26" s="276"/>
      <c r="G26" s="276">
        <f t="shared" si="18"/>
        <v>2056</v>
      </c>
      <c r="H26" s="276"/>
      <c r="I26" s="276"/>
      <c r="J26" s="276"/>
      <c r="K26" s="305">
        <f t="shared" si="22"/>
        <v>6168</v>
      </c>
      <c r="L26" s="276">
        <f t="shared" si="5"/>
        <v>74016</v>
      </c>
      <c r="M26" s="276">
        <f t="shared" si="20"/>
        <v>17832</v>
      </c>
      <c r="N26" s="276">
        <v>1486</v>
      </c>
      <c r="O26" s="276">
        <f t="shared" si="16"/>
        <v>91848</v>
      </c>
      <c r="P26" s="276">
        <v>7200</v>
      </c>
      <c r="Q26" s="276">
        <f t="shared" si="19"/>
        <v>600</v>
      </c>
      <c r="R26" s="276">
        <v>3237</v>
      </c>
      <c r="S26" s="276">
        <f t="shared" si="7"/>
        <v>269.75</v>
      </c>
      <c r="T26" s="276">
        <f t="shared" si="8"/>
        <v>10437</v>
      </c>
      <c r="U26" s="292">
        <f t="shared" si="9"/>
        <v>102285</v>
      </c>
      <c r="W26" s="289">
        <f t="shared" si="10"/>
        <v>12336</v>
      </c>
      <c r="X26" s="289">
        <f t="shared" si="11"/>
        <v>13235.25</v>
      </c>
      <c r="Y26" s="289">
        <f t="shared" si="12"/>
        <v>24672</v>
      </c>
      <c r="Z26" s="289">
        <f t="shared" si="1"/>
        <v>26470.5</v>
      </c>
      <c r="AA26" s="289">
        <f t="shared" si="13"/>
        <v>37008</v>
      </c>
      <c r="AB26" s="289">
        <f t="shared" si="2"/>
        <v>39705.75</v>
      </c>
      <c r="AC26" s="289">
        <f t="shared" si="14"/>
        <v>49344</v>
      </c>
      <c r="AD26" s="289">
        <f t="shared" si="3"/>
        <v>52941</v>
      </c>
      <c r="AE26" s="289">
        <f t="shared" si="17"/>
        <v>102285</v>
      </c>
      <c r="AF26" s="317">
        <f t="shared" si="15"/>
        <v>8523.75</v>
      </c>
    </row>
    <row r="27" spans="1:32" ht="15">
      <c r="A27" s="268">
        <v>18</v>
      </c>
      <c r="B27" s="293" t="s">
        <v>501</v>
      </c>
      <c r="C27" s="291">
        <v>2</v>
      </c>
      <c r="D27" s="276">
        <v>3631</v>
      </c>
      <c r="E27" s="276">
        <f t="shared" si="4"/>
        <v>7262</v>
      </c>
      <c r="F27" s="276"/>
      <c r="G27" s="276">
        <f t="shared" si="18"/>
        <v>3631</v>
      </c>
      <c r="H27" s="276"/>
      <c r="I27" s="276"/>
      <c r="J27" s="276">
        <v>1107</v>
      </c>
      <c r="K27" s="305">
        <f t="shared" si="22"/>
        <v>12000</v>
      </c>
      <c r="L27" s="276">
        <f t="shared" si="5"/>
        <v>144000</v>
      </c>
      <c r="M27" s="276">
        <f t="shared" si="20"/>
        <v>45960</v>
      </c>
      <c r="N27" s="276">
        <v>3830</v>
      </c>
      <c r="O27" s="276">
        <f t="shared" si="16"/>
        <v>189960</v>
      </c>
      <c r="P27" s="276">
        <v>7200</v>
      </c>
      <c r="Q27" s="276">
        <f t="shared" si="19"/>
        <v>600</v>
      </c>
      <c r="R27" s="276">
        <v>2859</v>
      </c>
      <c r="S27" s="276">
        <f t="shared" si="7"/>
        <v>238.25</v>
      </c>
      <c r="T27" s="276">
        <f t="shared" si="8"/>
        <v>10059</v>
      </c>
      <c r="U27" s="292">
        <f t="shared" si="9"/>
        <v>200019</v>
      </c>
      <c r="W27" s="289">
        <f t="shared" si="10"/>
        <v>21786</v>
      </c>
      <c r="X27" s="289">
        <f t="shared" si="11"/>
        <v>24897.75</v>
      </c>
      <c r="Y27" s="289">
        <f t="shared" si="12"/>
        <v>43572</v>
      </c>
      <c r="Z27" s="289">
        <f t="shared" si="1"/>
        <v>49795.5</v>
      </c>
      <c r="AA27" s="289">
        <f t="shared" si="13"/>
        <v>65358</v>
      </c>
      <c r="AB27" s="289">
        <f t="shared" si="2"/>
        <v>74693.25</v>
      </c>
      <c r="AC27" s="289">
        <f t="shared" si="14"/>
        <v>87144</v>
      </c>
      <c r="AD27" s="289">
        <f t="shared" si="3"/>
        <v>99591</v>
      </c>
      <c r="AE27" s="289">
        <f t="shared" si="17"/>
        <v>186735</v>
      </c>
      <c r="AF27" s="317">
        <f t="shared" si="15"/>
        <v>7780.625</v>
      </c>
    </row>
    <row r="28" spans="1:32" ht="15">
      <c r="A28" s="268">
        <v>19</v>
      </c>
      <c r="B28" s="293" t="s">
        <v>496</v>
      </c>
      <c r="C28" s="291">
        <v>1</v>
      </c>
      <c r="D28" s="276">
        <v>4859</v>
      </c>
      <c r="E28" s="276">
        <f t="shared" si="4"/>
        <v>4859</v>
      </c>
      <c r="F28" s="276"/>
      <c r="G28" s="276">
        <f t="shared" si="18"/>
        <v>2429.5</v>
      </c>
      <c r="H28" s="276"/>
      <c r="I28" s="276"/>
      <c r="J28" s="276"/>
      <c r="K28" s="305">
        <f t="shared" si="22"/>
        <v>7288.5</v>
      </c>
      <c r="L28" s="276">
        <f t="shared" si="5"/>
        <v>87462</v>
      </c>
      <c r="M28" s="276">
        <f t="shared" si="20"/>
        <v>27072</v>
      </c>
      <c r="N28" s="276">
        <v>2256</v>
      </c>
      <c r="O28" s="276">
        <f t="shared" si="16"/>
        <v>114534</v>
      </c>
      <c r="P28" s="276">
        <v>17496</v>
      </c>
      <c r="Q28" s="276">
        <f t="shared" si="19"/>
        <v>1458</v>
      </c>
      <c r="R28" s="276">
        <v>3826</v>
      </c>
      <c r="S28" s="276">
        <f t="shared" si="7"/>
        <v>318.83333333333331</v>
      </c>
      <c r="T28" s="276">
        <f t="shared" si="8"/>
        <v>21322</v>
      </c>
      <c r="U28" s="292">
        <f t="shared" si="9"/>
        <v>135856</v>
      </c>
      <c r="W28" s="289">
        <f t="shared" si="10"/>
        <v>14577</v>
      </c>
      <c r="X28" s="289">
        <f t="shared" si="11"/>
        <v>19387</v>
      </c>
      <c r="Y28" s="289">
        <f t="shared" si="12"/>
        <v>29154</v>
      </c>
      <c r="Z28" s="289">
        <f t="shared" si="1"/>
        <v>38774</v>
      </c>
      <c r="AA28" s="289">
        <f t="shared" si="13"/>
        <v>43731</v>
      </c>
      <c r="AB28" s="289">
        <f t="shared" si="2"/>
        <v>58161</v>
      </c>
      <c r="AC28" s="289">
        <f t="shared" si="14"/>
        <v>58308</v>
      </c>
      <c r="AD28" s="289">
        <f t="shared" si="3"/>
        <v>77548</v>
      </c>
      <c r="AE28" s="289">
        <f t="shared" si="17"/>
        <v>135856</v>
      </c>
      <c r="AF28" s="317">
        <f t="shared" si="15"/>
        <v>11321.333333333334</v>
      </c>
    </row>
    <row r="29" spans="1:32" ht="25.5" customHeight="1">
      <c r="A29" s="268">
        <v>20</v>
      </c>
      <c r="B29" s="293" t="s">
        <v>522</v>
      </c>
      <c r="C29" s="291">
        <v>3</v>
      </c>
      <c r="D29" s="276">
        <v>3391</v>
      </c>
      <c r="E29" s="276">
        <f t="shared" si="4"/>
        <v>10173</v>
      </c>
      <c r="F29" s="276"/>
      <c r="G29" s="276">
        <f>E29/2</f>
        <v>5086.5</v>
      </c>
      <c r="H29" s="276">
        <v>3560.55</v>
      </c>
      <c r="I29" s="276"/>
      <c r="J29" s="276"/>
      <c r="K29" s="305">
        <f t="shared" si="22"/>
        <v>18820.05</v>
      </c>
      <c r="L29" s="276">
        <f t="shared" si="5"/>
        <v>225840.59999999998</v>
      </c>
      <c r="M29" s="276">
        <f t="shared" si="20"/>
        <v>73896</v>
      </c>
      <c r="N29" s="276">
        <v>6158</v>
      </c>
      <c r="O29" s="276">
        <f t="shared" si="16"/>
        <v>299736.59999999998</v>
      </c>
      <c r="P29" s="276">
        <v>23184</v>
      </c>
      <c r="Q29" s="276">
        <f t="shared" si="19"/>
        <v>1932</v>
      </c>
      <c r="R29" s="276">
        <v>2670</v>
      </c>
      <c r="S29" s="276">
        <f t="shared" si="7"/>
        <v>222.5</v>
      </c>
      <c r="T29" s="276">
        <f t="shared" si="8"/>
        <v>25854</v>
      </c>
      <c r="U29" s="292">
        <f t="shared" si="9"/>
        <v>325590.59999999998</v>
      </c>
      <c r="W29" s="289">
        <f t="shared" si="10"/>
        <v>30519</v>
      </c>
      <c r="X29" s="289">
        <f t="shared" si="11"/>
        <v>50878.649999999994</v>
      </c>
      <c r="Y29" s="289">
        <f t="shared" si="12"/>
        <v>61038</v>
      </c>
      <c r="Z29" s="289">
        <f t="shared" si="1"/>
        <v>101757.29999999999</v>
      </c>
      <c r="AA29" s="289">
        <f t="shared" si="13"/>
        <v>91557</v>
      </c>
      <c r="AB29" s="289">
        <f t="shared" si="2"/>
        <v>152635.94999999998</v>
      </c>
      <c r="AC29" s="289">
        <f t="shared" si="14"/>
        <v>122076</v>
      </c>
      <c r="AD29" s="289">
        <f t="shared" si="3"/>
        <v>203514.59999999998</v>
      </c>
      <c r="AE29" s="289">
        <f t="shared" si="17"/>
        <v>325590.59999999998</v>
      </c>
      <c r="AF29" s="317">
        <f t="shared" si="15"/>
        <v>9044.1833333333325</v>
      </c>
    </row>
    <row r="30" spans="1:32" ht="22.5">
      <c r="A30" s="268">
        <v>21</v>
      </c>
      <c r="B30" s="293" t="s">
        <v>523</v>
      </c>
      <c r="C30" s="291">
        <v>1</v>
      </c>
      <c r="D30" s="276">
        <v>2910</v>
      </c>
      <c r="E30" s="276">
        <f t="shared" si="4"/>
        <v>2910</v>
      </c>
      <c r="F30" s="276"/>
      <c r="G30" s="276"/>
      <c r="H30" s="276"/>
      <c r="I30" s="276">
        <f>E30*10%</f>
        <v>291</v>
      </c>
      <c r="J30" s="276">
        <v>3090</v>
      </c>
      <c r="K30" s="305">
        <f t="shared" si="22"/>
        <v>6291</v>
      </c>
      <c r="L30" s="276">
        <f t="shared" si="5"/>
        <v>75492</v>
      </c>
      <c r="M30" s="276">
        <f>N30*12</f>
        <v>29185.800000000003</v>
      </c>
      <c r="N30" s="276">
        <v>2432.15</v>
      </c>
      <c r="O30" s="276">
        <f t="shared" si="16"/>
        <v>104677.8</v>
      </c>
      <c r="P30" s="276">
        <v>25199.8</v>
      </c>
      <c r="Q30" s="276">
        <f t="shared" si="19"/>
        <v>2099.9833333333331</v>
      </c>
      <c r="R30" s="276">
        <v>2291</v>
      </c>
      <c r="S30" s="276">
        <f t="shared" si="7"/>
        <v>190.91666666666666</v>
      </c>
      <c r="T30" s="276">
        <f t="shared" si="8"/>
        <v>27490.799999999999</v>
      </c>
      <c r="U30" s="292">
        <f t="shared" si="9"/>
        <v>132168.6</v>
      </c>
      <c r="W30" s="289">
        <f>E30*3</f>
        <v>8730</v>
      </c>
      <c r="X30" s="289">
        <f t="shared" si="11"/>
        <v>15042.150000000001</v>
      </c>
      <c r="Y30" s="289">
        <f t="shared" si="12"/>
        <v>17460</v>
      </c>
      <c r="Z30" s="289">
        <f t="shared" si="1"/>
        <v>30084.300000000003</v>
      </c>
      <c r="AA30" s="289">
        <f t="shared" si="13"/>
        <v>26190</v>
      </c>
      <c r="AB30" s="289">
        <f t="shared" si="2"/>
        <v>45126.450000000004</v>
      </c>
      <c r="AC30" s="289">
        <f t="shared" si="14"/>
        <v>34920</v>
      </c>
      <c r="AD30" s="289">
        <f t="shared" si="3"/>
        <v>60168.600000000006</v>
      </c>
      <c r="AE30" s="289">
        <f t="shared" si="17"/>
        <v>95088.6</v>
      </c>
      <c r="AF30" s="317">
        <f t="shared" si="15"/>
        <v>7924.05</v>
      </c>
    </row>
    <row r="31" spans="1:32" ht="15">
      <c r="A31" s="268">
        <v>22</v>
      </c>
      <c r="B31" s="293" t="s">
        <v>502</v>
      </c>
      <c r="C31" s="291">
        <v>12</v>
      </c>
      <c r="D31" s="276">
        <v>2910</v>
      </c>
      <c r="E31" s="276">
        <f>C31*D31</f>
        <v>34920</v>
      </c>
      <c r="F31" s="276">
        <f>590*12</f>
        <v>7080</v>
      </c>
      <c r="G31" s="276"/>
      <c r="H31" s="276"/>
      <c r="I31" s="276"/>
      <c r="J31" s="276">
        <v>37080</v>
      </c>
      <c r="K31" s="305">
        <f t="shared" si="22"/>
        <v>79080</v>
      </c>
      <c r="L31" s="276">
        <f t="shared" si="5"/>
        <v>948960</v>
      </c>
      <c r="M31" s="276">
        <f t="shared" si="20"/>
        <v>197112</v>
      </c>
      <c r="N31" s="276">
        <v>16426</v>
      </c>
      <c r="O31" s="276">
        <f>L31+M31</f>
        <v>1146072</v>
      </c>
      <c r="P31" s="276">
        <v>28824</v>
      </c>
      <c r="Q31" s="276">
        <f t="shared" si="19"/>
        <v>2402</v>
      </c>
      <c r="R31" s="276">
        <v>2291</v>
      </c>
      <c r="S31" s="276">
        <f t="shared" si="7"/>
        <v>190.91666666666666</v>
      </c>
      <c r="T31" s="276">
        <f t="shared" si="8"/>
        <v>31115</v>
      </c>
      <c r="U31" s="292">
        <f t="shared" si="9"/>
        <v>1177187</v>
      </c>
      <c r="W31" s="289">
        <f t="shared" si="10"/>
        <v>104760</v>
      </c>
      <c r="X31" s="289">
        <f>($F31+$G31+$H31+$I31+$N31+$Q31+$S31)*3</f>
        <v>78296.75</v>
      </c>
      <c r="Y31" s="289">
        <f t="shared" si="12"/>
        <v>209520</v>
      </c>
      <c r="Z31" s="289">
        <f t="shared" si="1"/>
        <v>156593.5</v>
      </c>
      <c r="AA31" s="289">
        <f t="shared" si="13"/>
        <v>314280</v>
      </c>
      <c r="AB31" s="289">
        <f t="shared" si="2"/>
        <v>234890.25</v>
      </c>
      <c r="AC31" s="289">
        <f t="shared" si="14"/>
        <v>419040</v>
      </c>
      <c r="AD31" s="289">
        <f>($F31+$G31+$H31+$I31+$N31+$Q31+$S31)*12</f>
        <v>313187</v>
      </c>
      <c r="AE31" s="289">
        <f t="shared" si="17"/>
        <v>732227</v>
      </c>
      <c r="AF31" s="317">
        <f t="shared" si="15"/>
        <v>5084.9097222222217</v>
      </c>
    </row>
    <row r="32" spans="1:32" ht="15">
      <c r="A32" s="268">
        <v>23</v>
      </c>
      <c r="B32" s="293" t="s">
        <v>524</v>
      </c>
      <c r="C32" s="291">
        <v>2</v>
      </c>
      <c r="D32" s="276">
        <v>2670</v>
      </c>
      <c r="E32" s="276">
        <f>C32*D32</f>
        <v>5340</v>
      </c>
      <c r="F32" s="276"/>
      <c r="G32" s="276"/>
      <c r="H32" s="276"/>
      <c r="I32" s="276">
        <f>D32*10%*2</f>
        <v>534</v>
      </c>
      <c r="J32" s="276">
        <v>6660</v>
      </c>
      <c r="K32" s="305">
        <f t="shared" si="22"/>
        <v>12534</v>
      </c>
      <c r="L32" s="276">
        <f t="shared" si="5"/>
        <v>150408</v>
      </c>
      <c r="M32" s="276">
        <f t="shared" si="20"/>
        <v>0</v>
      </c>
      <c r="N32" s="276"/>
      <c r="O32" s="276">
        <f>L32+M32</f>
        <v>150408</v>
      </c>
      <c r="P32" s="276"/>
      <c r="Q32" s="276">
        <f>P32/12</f>
        <v>0</v>
      </c>
      <c r="R32" s="276">
        <v>5340</v>
      </c>
      <c r="S32" s="276">
        <f t="shared" si="7"/>
        <v>445</v>
      </c>
      <c r="T32" s="276">
        <f t="shared" si="8"/>
        <v>5340</v>
      </c>
      <c r="U32" s="292">
        <f>O32+T32</f>
        <v>155748</v>
      </c>
      <c r="W32" s="322">
        <f t="shared" si="10"/>
        <v>16020</v>
      </c>
      <c r="X32" s="322">
        <f t="shared" si="11"/>
        <v>2937</v>
      </c>
      <c r="Y32" s="322">
        <f>E32*6</f>
        <v>32040</v>
      </c>
      <c r="Z32" s="322">
        <f t="shared" si="1"/>
        <v>5874</v>
      </c>
      <c r="AA32" s="322">
        <f t="shared" si="13"/>
        <v>48060</v>
      </c>
      <c r="AB32" s="322">
        <f t="shared" si="2"/>
        <v>8811</v>
      </c>
      <c r="AC32" s="322">
        <f t="shared" si="14"/>
        <v>64080</v>
      </c>
      <c r="AD32" s="322">
        <f t="shared" si="3"/>
        <v>11748</v>
      </c>
      <c r="AE32" s="322">
        <f>AD32+AC32</f>
        <v>75828</v>
      </c>
      <c r="AF32" s="330">
        <f>(AC32+AD32)/12/C32</f>
        <v>3159.5</v>
      </c>
    </row>
    <row r="33" spans="1:33" ht="15">
      <c r="A33" s="268"/>
      <c r="B33" s="294" t="s">
        <v>466</v>
      </c>
      <c r="C33" s="295">
        <f>SUM(C10:C32)</f>
        <v>42</v>
      </c>
      <c r="D33" s="292">
        <f>SUM(D10:D32)</f>
        <v>175194</v>
      </c>
      <c r="E33" s="296">
        <f>SUM(E10:E32)</f>
        <v>238043</v>
      </c>
      <c r="F33" s="296">
        <f>SUM(F10:F32)</f>
        <v>7080</v>
      </c>
      <c r="G33" s="296">
        <f t="shared" ref="G33:O33" si="23">SUM(G10:G32)</f>
        <v>47205</v>
      </c>
      <c r="H33" s="296">
        <f t="shared" si="23"/>
        <v>3560.55</v>
      </c>
      <c r="I33" s="296">
        <f t="shared" si="23"/>
        <v>825</v>
      </c>
      <c r="J33" s="296">
        <f>SUM(J10:J32)</f>
        <v>47937</v>
      </c>
      <c r="K33" s="296">
        <f t="shared" si="23"/>
        <v>344650.55</v>
      </c>
      <c r="L33" s="296">
        <f t="shared" si="23"/>
        <v>4135806.6</v>
      </c>
      <c r="M33" s="296">
        <f t="shared" si="23"/>
        <v>678661.8</v>
      </c>
      <c r="N33" s="296">
        <f t="shared" si="23"/>
        <v>56555.15</v>
      </c>
      <c r="O33" s="296">
        <f t="shared" si="23"/>
        <v>4814468.4000000004</v>
      </c>
      <c r="P33" s="296">
        <v>1022934.9</v>
      </c>
      <c r="Q33" s="296"/>
      <c r="R33" s="296">
        <f>SUM(R10:R32)</f>
        <v>141179</v>
      </c>
      <c r="S33" s="296"/>
      <c r="T33" s="276">
        <f>SUM(T10:T32)</f>
        <v>351082.89999999997</v>
      </c>
      <c r="U33" s="292">
        <f>SUM(U10:U32)</f>
        <v>5165551.3000000007</v>
      </c>
      <c r="W33" s="297">
        <f t="shared" ref="W33:AE33" si="24">SUM(W10:W32)</f>
        <v>714129</v>
      </c>
      <c r="X33" s="297">
        <f t="shared" si="24"/>
        <v>433447.82500000007</v>
      </c>
      <c r="Y33" s="297">
        <f t="shared" si="24"/>
        <v>1428258</v>
      </c>
      <c r="Z33" s="297">
        <f t="shared" si="24"/>
        <v>866895.65000000014</v>
      </c>
      <c r="AA33" s="297">
        <f t="shared" si="24"/>
        <v>2142387</v>
      </c>
      <c r="AB33" s="297">
        <f t="shared" si="24"/>
        <v>1300343.4749999999</v>
      </c>
      <c r="AC33" s="297">
        <f t="shared" si="24"/>
        <v>2856516</v>
      </c>
      <c r="AD33" s="297">
        <f t="shared" si="24"/>
        <v>1733791.3000000003</v>
      </c>
      <c r="AE33" s="297">
        <f t="shared" si="24"/>
        <v>4590307.3000000007</v>
      </c>
      <c r="AG33" s="301"/>
    </row>
    <row r="34" spans="1:33">
      <c r="F34" s="298"/>
      <c r="K34" s="289">
        <f>K32/2</f>
        <v>6267</v>
      </c>
    </row>
    <row r="35" spans="1:33">
      <c r="F35" s="318" t="s">
        <v>556</v>
      </c>
      <c r="K35" s="318" t="s">
        <v>557</v>
      </c>
      <c r="M35" s="298">
        <f>L33+M33</f>
        <v>4814468.4000000004</v>
      </c>
    </row>
    <row r="36" spans="1:33">
      <c r="K36" s="298"/>
    </row>
    <row r="37" spans="1:33">
      <c r="K37" s="298"/>
    </row>
    <row r="38" spans="1:33">
      <c r="K38" s="298"/>
      <c r="W38" s="289" t="s">
        <v>373</v>
      </c>
      <c r="X38" s="289" t="s">
        <v>365</v>
      </c>
      <c r="Y38" s="289" t="s">
        <v>366</v>
      </c>
      <c r="Z38" s="289" t="s">
        <v>86</v>
      </c>
    </row>
    <row r="39" spans="1:33">
      <c r="K39" s="298"/>
      <c r="L39" s="289">
        <v>3663831</v>
      </c>
      <c r="V39" s="289" t="s">
        <v>506</v>
      </c>
      <c r="W39" s="299">
        <f>SUM(W20:X23,W25:X32)</f>
        <v>620809.30000000005</v>
      </c>
      <c r="X39" s="299">
        <f>SUM(Y20:Z23,Y25:Z32)</f>
        <v>1241618.6000000001</v>
      </c>
      <c r="Y39" s="299">
        <f>SUM(AA20:AB23,AA25:AB32)</f>
        <v>1862427.9</v>
      </c>
      <c r="Z39" s="299">
        <f>SUM(AC20:AD23,AC25:AD32)</f>
        <v>2483237.2000000002</v>
      </c>
    </row>
    <row r="40" spans="1:33">
      <c r="K40" s="298"/>
      <c r="V40" s="289" t="s">
        <v>434</v>
      </c>
      <c r="W40" s="299">
        <f>(W39-W45)*22%+W45*8.41%</f>
        <v>132697.35355</v>
      </c>
      <c r="X40" s="299">
        <f>(X39-X45)*22%+X45*8.41%</f>
        <v>265394.7071</v>
      </c>
      <c r="Y40" s="299">
        <f t="shared" ref="Y40:Z40" si="25">(Y39-Y45)*22%+Y45*8.41%</f>
        <v>398092.06065</v>
      </c>
      <c r="Z40" s="299">
        <f t="shared" si="25"/>
        <v>530789.4142</v>
      </c>
    </row>
    <row r="41" spans="1:33">
      <c r="K41" s="298"/>
      <c r="W41" s="299"/>
      <c r="X41" s="299"/>
      <c r="Y41" s="299"/>
      <c r="Z41" s="299"/>
    </row>
    <row r="42" spans="1:33">
      <c r="K42" s="298"/>
      <c r="V42" s="289" t="s">
        <v>507</v>
      </c>
      <c r="W42" s="299">
        <f>SUM(W10:X19,W24:X24)</f>
        <v>526767.52500000002</v>
      </c>
      <c r="X42" s="299">
        <f>SUM(Y10:Z19,Y24:Z24)</f>
        <v>1053535.05</v>
      </c>
      <c r="Y42" s="299">
        <f>SUM(AA10:AB19,AA24:AB24)</f>
        <v>1580302.575</v>
      </c>
      <c r="Z42" s="299">
        <f>SUM(AC10:AD19,AC24:AD24)</f>
        <v>2107070.1</v>
      </c>
    </row>
    <row r="43" spans="1:33">
      <c r="K43" s="298"/>
      <c r="V43" s="289" t="s">
        <v>434</v>
      </c>
      <c r="W43" s="299">
        <f>(W42-W46)*22%+W46*8.41%</f>
        <v>101330.46607500002</v>
      </c>
      <c r="X43" s="299">
        <f>(X42-X46)*22%+X46*8.41%</f>
        <v>202660.93215000004</v>
      </c>
      <c r="Y43" s="299">
        <f t="shared" ref="Y43" si="26">(Y42-Y46)*22%+Y46*8.41%</f>
        <v>303991.39822500001</v>
      </c>
      <c r="Z43" s="299">
        <f>(Z42-Z46)*22%+Z46*8.41%</f>
        <v>405321.86430000007</v>
      </c>
    </row>
    <row r="44" spans="1:33">
      <c r="K44" s="298"/>
      <c r="W44" s="299"/>
      <c r="X44" s="299"/>
      <c r="Y44" s="299"/>
      <c r="Z44" s="299"/>
    </row>
    <row r="45" spans="1:33">
      <c r="K45" s="298"/>
      <c r="V45" s="289" t="s">
        <v>510</v>
      </c>
      <c r="W45" s="300">
        <f>SUM(W21:X21)</f>
        <v>28555.5</v>
      </c>
      <c r="X45" s="300">
        <f>SUM(Y21:Z21)</f>
        <v>57111</v>
      </c>
      <c r="Y45" s="300">
        <f>SUM(AA21:AB21)</f>
        <v>85666.5</v>
      </c>
      <c r="Z45" s="300">
        <f>SUM(AC21:AD21)</f>
        <v>114222</v>
      </c>
    </row>
    <row r="46" spans="1:33">
      <c r="K46" s="298"/>
      <c r="V46" s="289" t="s">
        <v>511</v>
      </c>
      <c r="W46" s="299">
        <f>W24+X24+W14+X14+(W19+X19)/2</f>
        <v>107125.75</v>
      </c>
      <c r="X46" s="299">
        <f>Y24+Z24+Y14+Z14+(Y19+Z19)/2</f>
        <v>214251.5</v>
      </c>
      <c r="Y46" s="299">
        <f>AA24+AB24+AA14+AB14+(AA19+AB19)/2</f>
        <v>321377.25</v>
      </c>
      <c r="Z46" s="299">
        <f>AC24+AD24+AC14+AD14+(AC19+AD19)/2</f>
        <v>428503</v>
      </c>
    </row>
    <row r="47" spans="1:33">
      <c r="K47" s="298"/>
      <c r="W47" s="299"/>
      <c r="X47" s="299"/>
      <c r="Y47" s="299"/>
      <c r="Z47" s="299"/>
    </row>
    <row r="48" spans="1:33">
      <c r="K48" s="298"/>
      <c r="V48" s="289" t="s">
        <v>508</v>
      </c>
      <c r="W48" s="299">
        <f t="shared" ref="W48:Y49" si="27">W39+W42</f>
        <v>1147576.8250000002</v>
      </c>
      <c r="X48" s="299">
        <f t="shared" si="27"/>
        <v>2295153.6500000004</v>
      </c>
      <c r="Y48" s="299">
        <f t="shared" si="27"/>
        <v>3442730.4749999996</v>
      </c>
      <c r="Z48" s="299">
        <f t="shared" ref="Z48:Z49" si="28">Z39+Z42</f>
        <v>4590307.3000000007</v>
      </c>
    </row>
    <row r="49" spans="11:26">
      <c r="K49" s="298"/>
      <c r="V49" s="289" t="s">
        <v>509</v>
      </c>
      <c r="W49" s="299">
        <f t="shared" si="27"/>
        <v>234027.819625</v>
      </c>
      <c r="X49" s="299">
        <f t="shared" si="27"/>
        <v>468055.63925000001</v>
      </c>
      <c r="Y49" s="299">
        <f t="shared" si="27"/>
        <v>702083.45887500001</v>
      </c>
      <c r="Z49" s="299">
        <f t="shared" si="28"/>
        <v>936111.27850000001</v>
      </c>
    </row>
    <row r="50" spans="11:26">
      <c r="K50" s="298"/>
    </row>
    <row r="51" spans="11:26">
      <c r="K51" s="298"/>
      <c r="V51" s="289" t="s">
        <v>512</v>
      </c>
    </row>
    <row r="52" spans="11:26">
      <c r="K52" s="298"/>
    </row>
    <row r="53" spans="11:26">
      <c r="K53" s="298"/>
      <c r="V53" s="289" t="s">
        <v>513</v>
      </c>
    </row>
    <row r="54" spans="11:26">
      <c r="K54" s="298"/>
      <c r="V54" s="289" t="s">
        <v>269</v>
      </c>
      <c r="W54" s="299">
        <f>AE10</f>
        <v>295989</v>
      </c>
      <c r="Y54" s="301">
        <f>W54/4*3</f>
        <v>221991.75</v>
      </c>
    </row>
    <row r="55" spans="11:26">
      <c r="K55" s="298"/>
      <c r="V55" s="289" t="s">
        <v>514</v>
      </c>
      <c r="W55" s="299">
        <f>Z42-W54</f>
        <v>1811081.1</v>
      </c>
      <c r="Y55" s="301">
        <f t="shared" ref="Y55:Y56" si="29">W55/4*3</f>
        <v>1358310.8250000002</v>
      </c>
    </row>
    <row r="56" spans="11:26">
      <c r="K56" s="298"/>
      <c r="V56" s="289" t="s">
        <v>270</v>
      </c>
      <c r="W56" s="299">
        <f>Z39</f>
        <v>2483237.2000000002</v>
      </c>
      <c r="Y56" s="301">
        <f t="shared" si="29"/>
        <v>1862427.9000000001</v>
      </c>
    </row>
    <row r="57" spans="11:26">
      <c r="K57" s="298"/>
      <c r="W57" s="299"/>
    </row>
    <row r="58" spans="11:26">
      <c r="K58" s="298"/>
      <c r="V58" s="289" t="s">
        <v>515</v>
      </c>
      <c r="W58" s="299"/>
    </row>
    <row r="59" spans="11:26">
      <c r="K59" s="298"/>
      <c r="V59" s="289" t="s">
        <v>269</v>
      </c>
      <c r="W59" s="299">
        <f>W54*1.22</f>
        <v>361106.58</v>
      </c>
      <c r="Y59" s="301">
        <f>W59/4*3</f>
        <v>270829.935</v>
      </c>
    </row>
    <row r="60" spans="11:26">
      <c r="K60" s="298"/>
      <c r="V60" s="289" t="s">
        <v>514</v>
      </c>
      <c r="W60" s="299">
        <f>Z42+Z43-W59</f>
        <v>2151285.3843</v>
      </c>
      <c r="Y60" s="301">
        <f t="shared" ref="Y60:Y61" si="30">W60/4*3</f>
        <v>1613464.038225</v>
      </c>
    </row>
    <row r="61" spans="11:26">
      <c r="K61" s="298"/>
      <c r="V61" s="289" t="s">
        <v>270</v>
      </c>
      <c r="W61" s="299">
        <f>Z39+Z40</f>
        <v>3014026.6142000002</v>
      </c>
      <c r="Y61" s="301">
        <f t="shared" si="30"/>
        <v>2260519.9606500003</v>
      </c>
    </row>
    <row r="62" spans="11:26">
      <c r="K62" s="298"/>
      <c r="W62" s="299"/>
    </row>
    <row r="63" spans="11:26">
      <c r="K63" s="298"/>
      <c r="V63" s="289" t="s">
        <v>516</v>
      </c>
      <c r="W63" s="299"/>
    </row>
    <row r="64" spans="11:26">
      <c r="K64" s="298"/>
      <c r="U64" s="289">
        <v>1</v>
      </c>
      <c r="V64" s="289" t="s">
        <v>269</v>
      </c>
      <c r="W64" s="299">
        <f>D10</f>
        <v>22325</v>
      </c>
      <c r="Y64" s="301">
        <f>W64/4*3</f>
        <v>16743.75</v>
      </c>
    </row>
    <row r="65" spans="11:25">
      <c r="K65" s="298"/>
      <c r="U65" s="289">
        <v>11</v>
      </c>
      <c r="V65" s="289" t="s">
        <v>514</v>
      </c>
      <c r="W65" s="299">
        <f>SUM(AC11:AC19,AC24)/11/12</f>
        <v>10084</v>
      </c>
      <c r="Y65" s="301">
        <f t="shared" ref="Y65" si="31">W65/4*3</f>
        <v>7563</v>
      </c>
    </row>
    <row r="66" spans="11:25">
      <c r="K66" s="298"/>
      <c r="U66" s="289">
        <v>30</v>
      </c>
      <c r="V66" s="289" t="s">
        <v>270</v>
      </c>
      <c r="W66" s="299">
        <f>SUM(AC20:AC23,AC25:AC32)/30/12</f>
        <v>3493.1333333333332</v>
      </c>
      <c r="Y66" s="301">
        <f>W66/4*3</f>
        <v>2619.85</v>
      </c>
    </row>
    <row r="67" spans="11:25">
      <c r="K67" s="298"/>
      <c r="W67" s="299"/>
    </row>
    <row r="68" spans="11:25">
      <c r="K68" s="298"/>
      <c r="V68" s="289" t="s">
        <v>517</v>
      </c>
      <c r="W68" s="299"/>
    </row>
    <row r="69" spans="11:25">
      <c r="K69" s="298"/>
      <c r="U69" s="289">
        <v>1</v>
      </c>
      <c r="V69" s="289" t="s">
        <v>269</v>
      </c>
      <c r="W69" s="299">
        <f>AE10/12</f>
        <v>24665.75</v>
      </c>
      <c r="Y69" s="301">
        <f>W69/4*3</f>
        <v>18499.3125</v>
      </c>
    </row>
    <row r="70" spans="11:25">
      <c r="U70" s="289">
        <v>11</v>
      </c>
      <c r="V70" s="289" t="s">
        <v>514</v>
      </c>
      <c r="W70" s="299">
        <f>SUM(AC11:AD19,AC24:AD24)/11/12</f>
        <v>13720.311363636363</v>
      </c>
      <c r="Y70" s="301">
        <f t="shared" ref="Y70:Y71" si="32">W70/4*3</f>
        <v>10290.233522727272</v>
      </c>
    </row>
    <row r="71" spans="11:25">
      <c r="U71" s="289">
        <v>30</v>
      </c>
      <c r="V71" s="289" t="s">
        <v>270</v>
      </c>
      <c r="W71" s="299">
        <f>SUM(AC20:AD23,AC25:AD32)/30/12</f>
        <v>6897.8811111111108</v>
      </c>
      <c r="Y71" s="301">
        <f t="shared" si="32"/>
        <v>5173.4108333333334</v>
      </c>
    </row>
  </sheetData>
  <customSheetViews>
    <customSheetView guid="{4BF2F851-A775-4F33-8DA4-C59D9D94DA9D}" topLeftCell="P50">
      <selection activeCell="W72" sqref="W72"/>
      <pageMargins left="0.7" right="0.7" top="0.75" bottom="0.75" header="0.3" footer="0.3"/>
      <pageSetup paperSize="9" orientation="landscape" r:id="rId1"/>
    </customSheetView>
    <customSheetView guid="{43DCEB14-ADF8-4168-9283-6542A71D3CF7}" topLeftCell="A19">
      <selection activeCell="K32" sqref="K32"/>
      <pageMargins left="0.7" right="0.7" top="0.75" bottom="0.75" header="0.3" footer="0.3"/>
      <pageSetup paperSize="9" orientation="landscape" r:id="rId2"/>
    </customSheetView>
  </customSheetViews>
  <mergeCells count="23">
    <mergeCell ref="A3:K3"/>
    <mergeCell ref="A4:K4"/>
    <mergeCell ref="A5:K5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K6:K9"/>
    <mergeCell ref="L6:L9"/>
    <mergeCell ref="T6:T9"/>
    <mergeCell ref="U6:U9"/>
    <mergeCell ref="N6:N9"/>
    <mergeCell ref="Q6:Q9"/>
    <mergeCell ref="S6:S9"/>
    <mergeCell ref="M6:M9"/>
    <mergeCell ref="O6:O9"/>
    <mergeCell ref="P6:P9"/>
    <mergeCell ref="R6:R9"/>
  </mergeCells>
  <pageMargins left="0.7" right="0.7" top="0.75" bottom="0.75" header="0.3" footer="0.3"/>
  <pageSetup paperSize="9" orientation="landscape"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66"/>
  <sheetViews>
    <sheetView view="pageBreakPreview" zoomScale="70" zoomScaleNormal="60" zoomScaleSheetLayoutView="70" workbookViewId="0">
      <selection activeCell="N35" sqref="N35"/>
    </sheetView>
  </sheetViews>
  <sheetFormatPr defaultColWidth="9.140625"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535"/>
      <c r="AC1" s="536"/>
      <c r="AD1" s="536"/>
      <c r="AE1" s="536"/>
    </row>
    <row r="2" spans="1:31" ht="18.75" customHeight="1">
      <c r="B2" s="39" t="s">
        <v>253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</row>
    <row r="3" spans="1:3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8.75" customHeight="1">
      <c r="A4" s="410" t="s">
        <v>55</v>
      </c>
      <c r="B4" s="410" t="s">
        <v>208</v>
      </c>
      <c r="C4" s="505" t="s">
        <v>209</v>
      </c>
      <c r="D4" s="506"/>
      <c r="E4" s="506"/>
      <c r="F4" s="507"/>
      <c r="G4" s="505" t="s">
        <v>342</v>
      </c>
      <c r="H4" s="506"/>
      <c r="I4" s="506"/>
      <c r="J4" s="506"/>
      <c r="K4" s="506"/>
      <c r="L4" s="507"/>
      <c r="M4" s="505" t="s">
        <v>210</v>
      </c>
      <c r="N4" s="506"/>
      <c r="O4" s="506"/>
      <c r="P4" s="507"/>
      <c r="Q4" s="440" t="s">
        <v>300</v>
      </c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2"/>
    </row>
    <row r="5" spans="1:31" ht="48.75" customHeight="1">
      <c r="A5" s="411"/>
      <c r="B5" s="411"/>
      <c r="C5" s="508"/>
      <c r="D5" s="509"/>
      <c r="E5" s="509"/>
      <c r="F5" s="510"/>
      <c r="G5" s="508"/>
      <c r="H5" s="509"/>
      <c r="I5" s="509"/>
      <c r="J5" s="509"/>
      <c r="K5" s="509"/>
      <c r="L5" s="510"/>
      <c r="M5" s="508"/>
      <c r="N5" s="509"/>
      <c r="O5" s="509"/>
      <c r="P5" s="510"/>
      <c r="Q5" s="437" t="s">
        <v>211</v>
      </c>
      <c r="R5" s="438"/>
      <c r="S5" s="439"/>
      <c r="T5" s="437" t="s">
        <v>212</v>
      </c>
      <c r="U5" s="438"/>
      <c r="V5" s="439"/>
      <c r="W5" s="437" t="s">
        <v>43</v>
      </c>
      <c r="X5" s="438"/>
      <c r="Y5" s="439"/>
      <c r="Z5" s="440" t="s">
        <v>213</v>
      </c>
      <c r="AA5" s="441"/>
      <c r="AB5" s="442"/>
      <c r="AC5" s="440" t="s">
        <v>214</v>
      </c>
      <c r="AD5" s="441"/>
      <c r="AE5" s="442"/>
    </row>
    <row r="6" spans="1:31" ht="18" customHeight="1">
      <c r="A6" s="64">
        <v>1</v>
      </c>
      <c r="B6" s="65">
        <v>2</v>
      </c>
      <c r="C6" s="502">
        <v>3</v>
      </c>
      <c r="D6" s="503"/>
      <c r="E6" s="503"/>
      <c r="F6" s="504"/>
      <c r="G6" s="502">
        <v>4</v>
      </c>
      <c r="H6" s="503"/>
      <c r="I6" s="503"/>
      <c r="J6" s="503"/>
      <c r="K6" s="503"/>
      <c r="L6" s="504"/>
      <c r="M6" s="502">
        <v>5</v>
      </c>
      <c r="N6" s="503"/>
      <c r="O6" s="503"/>
      <c r="P6" s="504"/>
      <c r="Q6" s="502">
        <v>6</v>
      </c>
      <c r="R6" s="503"/>
      <c r="S6" s="504"/>
      <c r="T6" s="502">
        <v>7</v>
      </c>
      <c r="U6" s="503"/>
      <c r="V6" s="504"/>
      <c r="W6" s="499">
        <v>8</v>
      </c>
      <c r="X6" s="500"/>
      <c r="Y6" s="501"/>
      <c r="Z6" s="499">
        <v>9</v>
      </c>
      <c r="AA6" s="500"/>
      <c r="AB6" s="501"/>
      <c r="AC6" s="499">
        <v>10</v>
      </c>
      <c r="AD6" s="500"/>
      <c r="AE6" s="501"/>
    </row>
    <row r="7" spans="1:31" ht="41.25" customHeight="1">
      <c r="A7" s="233">
        <v>1</v>
      </c>
      <c r="B7" s="234" t="s">
        <v>395</v>
      </c>
      <c r="C7" s="437">
        <v>2006</v>
      </c>
      <c r="D7" s="438"/>
      <c r="E7" s="438"/>
      <c r="F7" s="439"/>
      <c r="G7" s="511" t="s">
        <v>398</v>
      </c>
      <c r="H7" s="512"/>
      <c r="I7" s="512"/>
      <c r="J7" s="512"/>
      <c r="K7" s="512"/>
      <c r="L7" s="513"/>
      <c r="M7" s="514">
        <f t="shared" ref="M7" si="0">Q7+Z7</f>
        <v>65</v>
      </c>
      <c r="N7" s="515"/>
      <c r="O7" s="515"/>
      <c r="P7" s="516"/>
      <c r="Q7" s="496">
        <v>59</v>
      </c>
      <c r="R7" s="497"/>
      <c r="S7" s="498"/>
      <c r="T7" s="490"/>
      <c r="U7" s="491"/>
      <c r="V7" s="492"/>
      <c r="W7" s="490"/>
      <c r="X7" s="491"/>
      <c r="Y7" s="492"/>
      <c r="Z7" s="496">
        <v>6</v>
      </c>
      <c r="AA7" s="497"/>
      <c r="AB7" s="498"/>
      <c r="AC7" s="490"/>
      <c r="AD7" s="491"/>
      <c r="AE7" s="492"/>
    </row>
    <row r="8" spans="1:31" ht="41.25" customHeight="1">
      <c r="A8" s="233">
        <v>2</v>
      </c>
      <c r="B8" s="234" t="s">
        <v>396</v>
      </c>
      <c r="C8" s="437">
        <v>1996</v>
      </c>
      <c r="D8" s="438"/>
      <c r="E8" s="438"/>
      <c r="F8" s="439"/>
      <c r="G8" s="511" t="s">
        <v>398</v>
      </c>
      <c r="H8" s="512"/>
      <c r="I8" s="512"/>
      <c r="J8" s="512"/>
      <c r="K8" s="512"/>
      <c r="L8" s="513"/>
      <c r="M8" s="514">
        <f t="shared" ref="M8:M10" si="1">Q8+Z8</f>
        <v>12</v>
      </c>
      <c r="N8" s="515"/>
      <c r="O8" s="515"/>
      <c r="P8" s="516"/>
      <c r="Q8" s="496">
        <v>10</v>
      </c>
      <c r="R8" s="497"/>
      <c r="S8" s="498"/>
      <c r="T8" s="490"/>
      <c r="U8" s="491"/>
      <c r="V8" s="492"/>
      <c r="W8" s="490"/>
      <c r="X8" s="491"/>
      <c r="Y8" s="492"/>
      <c r="Z8" s="496">
        <v>2</v>
      </c>
      <c r="AA8" s="497"/>
      <c r="AB8" s="498"/>
      <c r="AC8" s="490"/>
      <c r="AD8" s="491"/>
      <c r="AE8" s="492"/>
    </row>
    <row r="9" spans="1:31" ht="41.25" customHeight="1">
      <c r="A9" s="233">
        <v>3</v>
      </c>
      <c r="B9" s="234" t="s">
        <v>397</v>
      </c>
      <c r="C9" s="437">
        <v>2011</v>
      </c>
      <c r="D9" s="438"/>
      <c r="E9" s="438"/>
      <c r="F9" s="439"/>
      <c r="G9" s="511" t="s">
        <v>398</v>
      </c>
      <c r="H9" s="512"/>
      <c r="I9" s="512"/>
      <c r="J9" s="512"/>
      <c r="K9" s="512"/>
      <c r="L9" s="513"/>
      <c r="M9" s="514">
        <f t="shared" si="1"/>
        <v>58</v>
      </c>
      <c r="N9" s="515"/>
      <c r="O9" s="515"/>
      <c r="P9" s="516"/>
      <c r="Q9" s="496">
        <v>50</v>
      </c>
      <c r="R9" s="497"/>
      <c r="S9" s="498"/>
      <c r="T9" s="490"/>
      <c r="U9" s="491"/>
      <c r="V9" s="492"/>
      <c r="W9" s="490"/>
      <c r="X9" s="491"/>
      <c r="Y9" s="492"/>
      <c r="Z9" s="496">
        <v>8</v>
      </c>
      <c r="AA9" s="497"/>
      <c r="AB9" s="498"/>
      <c r="AC9" s="490"/>
      <c r="AD9" s="491"/>
      <c r="AE9" s="492"/>
    </row>
    <row r="10" spans="1:31" ht="42" customHeight="1">
      <c r="A10" s="233">
        <v>4</v>
      </c>
      <c r="B10" s="234" t="s">
        <v>458</v>
      </c>
      <c r="C10" s="437">
        <v>2016</v>
      </c>
      <c r="D10" s="438"/>
      <c r="E10" s="438"/>
      <c r="F10" s="439"/>
      <c r="G10" s="511" t="s">
        <v>398</v>
      </c>
      <c r="H10" s="512"/>
      <c r="I10" s="512"/>
      <c r="J10" s="512"/>
      <c r="K10" s="512"/>
      <c r="L10" s="513"/>
      <c r="M10" s="514">
        <f t="shared" si="1"/>
        <v>60</v>
      </c>
      <c r="N10" s="515"/>
      <c r="O10" s="515"/>
      <c r="P10" s="516"/>
      <c r="Q10" s="496">
        <v>51</v>
      </c>
      <c r="R10" s="497"/>
      <c r="S10" s="498"/>
      <c r="T10" s="490"/>
      <c r="U10" s="491"/>
      <c r="V10" s="492"/>
      <c r="W10" s="490"/>
      <c r="X10" s="491"/>
      <c r="Y10" s="492"/>
      <c r="Z10" s="496">
        <v>9</v>
      </c>
      <c r="AA10" s="497"/>
      <c r="AB10" s="498"/>
      <c r="AC10" s="490"/>
      <c r="AD10" s="491"/>
      <c r="AE10" s="492"/>
    </row>
    <row r="11" spans="1:31" ht="42" customHeight="1">
      <c r="A11" s="272">
        <v>5</v>
      </c>
      <c r="B11" s="271" t="s">
        <v>527</v>
      </c>
      <c r="C11" s="437">
        <v>2019</v>
      </c>
      <c r="D11" s="438"/>
      <c r="E11" s="438"/>
      <c r="F11" s="439"/>
      <c r="G11" s="511" t="s">
        <v>398</v>
      </c>
      <c r="H11" s="512"/>
      <c r="I11" s="512"/>
      <c r="J11" s="512"/>
      <c r="K11" s="512"/>
      <c r="L11" s="513"/>
      <c r="M11" s="514">
        <f t="shared" ref="M11" si="2">Q11+Z11</f>
        <v>55</v>
      </c>
      <c r="N11" s="515"/>
      <c r="O11" s="515"/>
      <c r="P11" s="516"/>
      <c r="Q11" s="496">
        <v>49</v>
      </c>
      <c r="R11" s="539"/>
      <c r="S11" s="540"/>
      <c r="T11" s="490"/>
      <c r="U11" s="537"/>
      <c r="V11" s="538"/>
      <c r="W11" s="490"/>
      <c r="X11" s="537"/>
      <c r="Y11" s="538"/>
      <c r="Z11" s="496">
        <v>6</v>
      </c>
      <c r="AA11" s="537"/>
      <c r="AB11" s="538"/>
      <c r="AC11" s="490"/>
      <c r="AD11" s="537"/>
      <c r="AE11" s="538"/>
    </row>
    <row r="12" spans="1:31" ht="20.100000000000001" customHeight="1">
      <c r="A12" s="517" t="s">
        <v>60</v>
      </c>
      <c r="B12" s="518"/>
      <c r="C12" s="518"/>
      <c r="D12" s="518"/>
      <c r="E12" s="518"/>
      <c r="F12" s="518"/>
      <c r="G12" s="518"/>
      <c r="H12" s="518"/>
      <c r="I12" s="518"/>
      <c r="J12" s="518"/>
      <c r="K12" s="518"/>
      <c r="L12" s="519"/>
      <c r="M12" s="493">
        <f>SUM(M7:P10)+M11</f>
        <v>250</v>
      </c>
      <c r="N12" s="494"/>
      <c r="O12" s="494"/>
      <c r="P12" s="495"/>
      <c r="Q12" s="493">
        <f>SUM(Q7:S10)+Q11:S11</f>
        <v>219</v>
      </c>
      <c r="R12" s="494"/>
      <c r="S12" s="495"/>
      <c r="T12" s="493">
        <f>SUM(T7:V10)</f>
        <v>0</v>
      </c>
      <c r="U12" s="494"/>
      <c r="V12" s="495"/>
      <c r="W12" s="493">
        <f>SUM(W7:Y10)</f>
        <v>0</v>
      </c>
      <c r="X12" s="494"/>
      <c r="Y12" s="495"/>
      <c r="Z12" s="493">
        <f>SUM(Z7:AB10)+Z11:AB11</f>
        <v>31</v>
      </c>
      <c r="AA12" s="494"/>
      <c r="AB12" s="495"/>
      <c r="AC12" s="493">
        <f>SUM(AC7:AE10)</f>
        <v>0</v>
      </c>
      <c r="AD12" s="494"/>
      <c r="AE12" s="495"/>
    </row>
    <row r="13" spans="1:31" ht="18.75" customHeight="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34"/>
      <c r="O13" s="34"/>
      <c r="P13" s="34"/>
      <c r="Q13" s="55"/>
      <c r="R13" s="55"/>
      <c r="S13" s="55"/>
      <c r="T13" s="55"/>
      <c r="U13" s="55"/>
      <c r="V13" s="55"/>
      <c r="W13" s="56"/>
      <c r="X13" s="56"/>
      <c r="Y13" s="56"/>
      <c r="Z13" s="56"/>
      <c r="AA13" s="56"/>
      <c r="AB13" s="56"/>
      <c r="AC13" s="56"/>
      <c r="AD13" s="56"/>
      <c r="AE13" s="56"/>
    </row>
    <row r="14" spans="1:31" s="39" customFormat="1" ht="18.75" customHeight="1">
      <c r="B14" s="39" t="s">
        <v>254</v>
      </c>
    </row>
    <row r="15" spans="1:31" s="39" customFormat="1" ht="18.75" customHeight="1"/>
    <row r="16" spans="1:31" ht="18.75" customHeight="1">
      <c r="A16" s="397" t="s">
        <v>55</v>
      </c>
      <c r="B16" s="397" t="s">
        <v>215</v>
      </c>
      <c r="C16" s="378" t="s">
        <v>208</v>
      </c>
      <c r="D16" s="378"/>
      <c r="E16" s="378"/>
      <c r="F16" s="378"/>
      <c r="G16" s="378" t="s">
        <v>342</v>
      </c>
      <c r="H16" s="378"/>
      <c r="I16" s="378"/>
      <c r="J16" s="378"/>
      <c r="K16" s="378"/>
      <c r="L16" s="378"/>
      <c r="M16" s="378"/>
      <c r="N16" s="378"/>
      <c r="O16" s="378"/>
      <c r="P16" s="378"/>
      <c r="Q16" s="378" t="s">
        <v>216</v>
      </c>
      <c r="R16" s="378"/>
      <c r="S16" s="378"/>
      <c r="T16" s="378"/>
      <c r="U16" s="378"/>
      <c r="V16" s="382" t="s">
        <v>217</v>
      </c>
      <c r="W16" s="382"/>
      <c r="X16" s="382"/>
      <c r="Y16" s="382"/>
      <c r="Z16" s="382"/>
      <c r="AA16" s="382"/>
      <c r="AB16" s="382"/>
      <c r="AC16" s="382"/>
      <c r="AD16" s="382"/>
      <c r="AE16" s="382"/>
    </row>
    <row r="17" spans="1:31" ht="18.75" customHeight="1">
      <c r="A17" s="397"/>
      <c r="B17" s="397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82" t="s">
        <v>218</v>
      </c>
      <c r="W17" s="382"/>
      <c r="X17" s="382" t="s">
        <v>105</v>
      </c>
      <c r="Y17" s="382"/>
      <c r="Z17" s="382"/>
      <c r="AA17" s="382"/>
      <c r="AB17" s="382"/>
      <c r="AC17" s="382"/>
      <c r="AD17" s="382"/>
      <c r="AE17" s="382"/>
    </row>
    <row r="18" spans="1:31" ht="18.75" customHeight="1">
      <c r="A18" s="397"/>
      <c r="B18" s="397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  <c r="R18" s="378"/>
      <c r="S18" s="378"/>
      <c r="T18" s="378"/>
      <c r="U18" s="378"/>
      <c r="V18" s="382"/>
      <c r="W18" s="382"/>
      <c r="X18" s="382" t="s">
        <v>373</v>
      </c>
      <c r="Y18" s="382"/>
      <c r="Z18" s="382" t="s">
        <v>365</v>
      </c>
      <c r="AA18" s="382"/>
      <c r="AB18" s="382" t="s">
        <v>366</v>
      </c>
      <c r="AC18" s="382"/>
      <c r="AD18" s="382" t="s">
        <v>86</v>
      </c>
      <c r="AE18" s="382"/>
    </row>
    <row r="19" spans="1:31" ht="18" customHeight="1">
      <c r="A19" s="64">
        <v>1</v>
      </c>
      <c r="B19" s="64">
        <v>2</v>
      </c>
      <c r="C19" s="489">
        <v>3</v>
      </c>
      <c r="D19" s="489"/>
      <c r="E19" s="489"/>
      <c r="F19" s="489"/>
      <c r="G19" s="489">
        <v>4</v>
      </c>
      <c r="H19" s="489"/>
      <c r="I19" s="489"/>
      <c r="J19" s="489"/>
      <c r="K19" s="489"/>
      <c r="L19" s="489"/>
      <c r="M19" s="489"/>
      <c r="N19" s="489"/>
      <c r="O19" s="489"/>
      <c r="P19" s="489"/>
      <c r="Q19" s="489">
        <v>5</v>
      </c>
      <c r="R19" s="489"/>
      <c r="S19" s="489"/>
      <c r="T19" s="489"/>
      <c r="U19" s="489"/>
      <c r="V19" s="489">
        <v>6</v>
      </c>
      <c r="W19" s="489"/>
      <c r="X19" s="520">
        <v>7</v>
      </c>
      <c r="Y19" s="520"/>
      <c r="Z19" s="520">
        <v>8</v>
      </c>
      <c r="AA19" s="520"/>
      <c r="AB19" s="520">
        <v>9</v>
      </c>
      <c r="AC19" s="520"/>
      <c r="AD19" s="520">
        <v>10</v>
      </c>
      <c r="AE19" s="520"/>
    </row>
    <row r="20" spans="1:31" ht="20.100000000000001" customHeight="1">
      <c r="A20" s="86"/>
      <c r="B20" s="81"/>
      <c r="C20" s="522"/>
      <c r="D20" s="522"/>
      <c r="E20" s="522"/>
      <c r="F20" s="522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4"/>
      <c r="R20" s="524"/>
      <c r="S20" s="524"/>
      <c r="T20" s="524"/>
      <c r="U20" s="524"/>
      <c r="V20" s="525">
        <f>SUM(X20,Z20,AB20,AD20)</f>
        <v>0</v>
      </c>
      <c r="W20" s="525"/>
      <c r="X20" s="521"/>
      <c r="Y20" s="521"/>
      <c r="Z20" s="521"/>
      <c r="AA20" s="521"/>
      <c r="AB20" s="521"/>
      <c r="AC20" s="521"/>
      <c r="AD20" s="521"/>
      <c r="AE20" s="521"/>
    </row>
    <row r="21" spans="1:31" ht="20.100000000000001" customHeight="1">
      <c r="A21" s="86"/>
      <c r="B21" s="81"/>
      <c r="C21" s="522"/>
      <c r="D21" s="522"/>
      <c r="E21" s="522"/>
      <c r="F21" s="522"/>
      <c r="G21" s="523"/>
      <c r="H21" s="523"/>
      <c r="I21" s="523"/>
      <c r="J21" s="523"/>
      <c r="K21" s="523"/>
      <c r="L21" s="523"/>
      <c r="M21" s="523"/>
      <c r="N21" s="523"/>
      <c r="O21" s="523"/>
      <c r="P21" s="523"/>
      <c r="Q21" s="524"/>
      <c r="R21" s="524"/>
      <c r="S21" s="524"/>
      <c r="T21" s="524"/>
      <c r="U21" s="524"/>
      <c r="V21" s="525">
        <f>SUM(X21,Z21,AB21,AD21)</f>
        <v>0</v>
      </c>
      <c r="W21" s="525"/>
      <c r="X21" s="521"/>
      <c r="Y21" s="521"/>
      <c r="Z21" s="521"/>
      <c r="AA21" s="521"/>
      <c r="AB21" s="521"/>
      <c r="AC21" s="521"/>
      <c r="AD21" s="521"/>
      <c r="AE21" s="521"/>
    </row>
    <row r="22" spans="1:31" ht="20.100000000000001" customHeight="1">
      <c r="A22" s="397" t="s">
        <v>60</v>
      </c>
      <c r="B22" s="397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7"/>
      <c r="P22" s="397"/>
      <c r="Q22" s="397"/>
      <c r="R22" s="397"/>
      <c r="S22" s="397"/>
      <c r="T22" s="397"/>
      <c r="U22" s="397"/>
      <c r="V22" s="486">
        <f>SUM(V20:W21)</f>
        <v>0</v>
      </c>
      <c r="W22" s="486"/>
      <c r="X22" s="486">
        <f>SUM(X20:Y21)</f>
        <v>0</v>
      </c>
      <c r="Y22" s="486"/>
      <c r="Z22" s="486">
        <f>SUM(Z20:AA21)</f>
        <v>0</v>
      </c>
      <c r="AA22" s="486"/>
      <c r="AB22" s="486">
        <f>SUM(AB20:AC21)</f>
        <v>0</v>
      </c>
      <c r="AC22" s="486"/>
      <c r="AD22" s="486">
        <f>SUM(AD20:AE21)</f>
        <v>0</v>
      </c>
      <c r="AE22" s="486"/>
    </row>
    <row r="23" spans="1:3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Q23" s="29"/>
      <c r="R23" s="29"/>
      <c r="S23" s="29"/>
      <c r="T23" s="29"/>
      <c r="U23" s="29"/>
      <c r="AE23" s="29"/>
    </row>
    <row r="24" spans="1:31" s="39" customFormat="1" ht="18.75" customHeight="1">
      <c r="B24" s="39" t="s">
        <v>231</v>
      </c>
    </row>
    <row r="25" spans="1:31" ht="26.25">
      <c r="A25" s="26"/>
      <c r="B25" s="26"/>
      <c r="C25" s="26"/>
      <c r="D25" s="26"/>
      <c r="E25" s="26"/>
      <c r="F25" s="26"/>
      <c r="G25" s="26"/>
      <c r="H25" s="41"/>
      <c r="I25" s="41"/>
      <c r="J25" s="41"/>
      <c r="K25" s="41"/>
      <c r="L25" s="41"/>
      <c r="M25" s="320"/>
      <c r="N25" s="41"/>
      <c r="O25" s="41"/>
      <c r="P25" s="41"/>
      <c r="Q25" s="41"/>
      <c r="R25" s="41"/>
      <c r="S25" s="41"/>
      <c r="T25" s="41"/>
      <c r="U25" s="41"/>
      <c r="V25" s="26"/>
      <c r="AD25" s="174" t="s">
        <v>251</v>
      </c>
    </row>
    <row r="26" spans="1:31" ht="30" customHeight="1">
      <c r="A26" s="378" t="s">
        <v>55</v>
      </c>
      <c r="B26" s="378" t="s">
        <v>255</v>
      </c>
      <c r="C26" s="378"/>
      <c r="D26" s="378"/>
      <c r="E26" s="378"/>
      <c r="F26" s="378"/>
      <c r="G26" s="437" t="s">
        <v>59</v>
      </c>
      <c r="H26" s="438"/>
      <c r="I26" s="438"/>
      <c r="J26" s="439"/>
      <c r="K26" s="437" t="s">
        <v>96</v>
      </c>
      <c r="L26" s="438"/>
      <c r="M26" s="438"/>
      <c r="N26" s="439"/>
      <c r="O26" s="437" t="s">
        <v>302</v>
      </c>
      <c r="P26" s="438"/>
      <c r="Q26" s="438"/>
      <c r="R26" s="439"/>
      <c r="S26" s="437" t="s">
        <v>141</v>
      </c>
      <c r="T26" s="438"/>
      <c r="U26" s="438"/>
      <c r="V26" s="439"/>
      <c r="W26" s="437" t="s">
        <v>60</v>
      </c>
      <c r="X26" s="438"/>
      <c r="Y26" s="438"/>
      <c r="Z26" s="439"/>
    </row>
    <row r="27" spans="1:31" ht="30" customHeight="1">
      <c r="A27" s="378"/>
      <c r="B27" s="378"/>
      <c r="C27" s="378"/>
      <c r="D27" s="378"/>
      <c r="E27" s="378"/>
      <c r="F27" s="378"/>
      <c r="G27" s="437" t="s">
        <v>105</v>
      </c>
      <c r="H27" s="438"/>
      <c r="I27" s="438"/>
      <c r="J27" s="439"/>
      <c r="K27" s="437" t="s">
        <v>105</v>
      </c>
      <c r="L27" s="438"/>
      <c r="M27" s="438"/>
      <c r="N27" s="439"/>
      <c r="O27" s="437" t="s">
        <v>105</v>
      </c>
      <c r="P27" s="438"/>
      <c r="Q27" s="438"/>
      <c r="R27" s="439"/>
      <c r="S27" s="437" t="s">
        <v>105</v>
      </c>
      <c r="T27" s="438"/>
      <c r="U27" s="438"/>
      <c r="V27" s="439"/>
      <c r="W27" s="437" t="s">
        <v>105</v>
      </c>
      <c r="X27" s="438"/>
      <c r="Y27" s="438"/>
      <c r="Z27" s="439"/>
    </row>
    <row r="28" spans="1:31" ht="39.950000000000003" customHeight="1">
      <c r="A28" s="378"/>
      <c r="B28" s="378"/>
      <c r="C28" s="378"/>
      <c r="D28" s="378"/>
      <c r="E28" s="378"/>
      <c r="F28" s="378"/>
      <c r="G28" s="7" t="s">
        <v>374</v>
      </c>
      <c r="H28" s="7" t="s">
        <v>365</v>
      </c>
      <c r="I28" s="7" t="s">
        <v>366</v>
      </c>
      <c r="J28" s="7" t="s">
        <v>86</v>
      </c>
      <c r="K28" s="7" t="s">
        <v>374</v>
      </c>
      <c r="L28" s="7" t="s">
        <v>365</v>
      </c>
      <c r="M28" s="7" t="s">
        <v>366</v>
      </c>
      <c r="N28" s="7" t="s">
        <v>86</v>
      </c>
      <c r="O28" s="7" t="s">
        <v>374</v>
      </c>
      <c r="P28" s="7" t="s">
        <v>365</v>
      </c>
      <c r="Q28" s="7" t="s">
        <v>366</v>
      </c>
      <c r="R28" s="7" t="s">
        <v>86</v>
      </c>
      <c r="S28" s="7" t="s">
        <v>374</v>
      </c>
      <c r="T28" s="7" t="s">
        <v>365</v>
      </c>
      <c r="U28" s="7" t="s">
        <v>366</v>
      </c>
      <c r="V28" s="7" t="s">
        <v>86</v>
      </c>
      <c r="W28" s="7" t="s">
        <v>374</v>
      </c>
      <c r="X28" s="7" t="s">
        <v>365</v>
      </c>
      <c r="Y28" s="7" t="s">
        <v>366</v>
      </c>
      <c r="Z28" s="7" t="s">
        <v>86</v>
      </c>
    </row>
    <row r="29" spans="1:31" ht="18" customHeight="1">
      <c r="A29" s="7"/>
      <c r="B29" s="378">
        <v>2</v>
      </c>
      <c r="C29" s="378"/>
      <c r="D29" s="378"/>
      <c r="E29" s="378"/>
      <c r="F29" s="378"/>
      <c r="G29" s="7">
        <v>3</v>
      </c>
      <c r="H29" s="7">
        <v>4</v>
      </c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>
        <v>12</v>
      </c>
      <c r="Q29" s="7">
        <v>13</v>
      </c>
      <c r="R29" s="7">
        <v>14</v>
      </c>
      <c r="S29" s="7">
        <v>15</v>
      </c>
      <c r="T29" s="7">
        <v>16</v>
      </c>
      <c r="U29" s="7">
        <v>17</v>
      </c>
      <c r="V29" s="7">
        <v>18</v>
      </c>
      <c r="W29" s="7">
        <v>19</v>
      </c>
      <c r="X29" s="7">
        <v>20</v>
      </c>
      <c r="Y29" s="7">
        <v>21</v>
      </c>
      <c r="Z29" s="6">
        <v>22</v>
      </c>
    </row>
    <row r="30" spans="1:31" ht="19.5" customHeight="1">
      <c r="A30" s="255">
        <v>1</v>
      </c>
      <c r="B30" s="532" t="s">
        <v>550</v>
      </c>
      <c r="C30" s="533"/>
      <c r="D30" s="533"/>
      <c r="E30" s="533"/>
      <c r="F30" s="534"/>
      <c r="G30" s="261"/>
      <c r="H30" s="261"/>
      <c r="I30" s="261"/>
      <c r="J30" s="261"/>
      <c r="K30" s="172">
        <v>0</v>
      </c>
      <c r="L30" s="231">
        <v>667</v>
      </c>
      <c r="M30" s="231">
        <v>667</v>
      </c>
      <c r="N30" s="231">
        <v>667</v>
      </c>
      <c r="O30" s="172">
        <v>37</v>
      </c>
      <c r="P30" s="172">
        <v>136</v>
      </c>
      <c r="Q30" s="172">
        <v>159</v>
      </c>
      <c r="R30" s="172">
        <v>159</v>
      </c>
      <c r="S30" s="255"/>
      <c r="T30" s="255"/>
      <c r="U30" s="255"/>
      <c r="V30" s="255"/>
      <c r="W30" s="231">
        <f t="shared" ref="W30:W31" si="3">SUM(G30,K30,O30,S30)</f>
        <v>37</v>
      </c>
      <c r="X30" s="231">
        <f t="shared" ref="X30" si="4">SUM(H30,L30,P30,T30)</f>
        <v>803</v>
      </c>
      <c r="Y30" s="231">
        <f t="shared" ref="Y30" si="5">SUM(I30,M30,Q30,U30)</f>
        <v>826</v>
      </c>
      <c r="Z30" s="231">
        <f t="shared" ref="Z30" si="6">SUM(J30,N30,R30,V30)</f>
        <v>826</v>
      </c>
    </row>
    <row r="31" spans="1:31" ht="21.75" customHeight="1">
      <c r="A31" s="84">
        <v>2</v>
      </c>
      <c r="B31" s="529"/>
      <c r="C31" s="530"/>
      <c r="D31" s="530"/>
      <c r="E31" s="530"/>
      <c r="F31" s="531"/>
      <c r="G31" s="232"/>
      <c r="H31" s="232"/>
      <c r="I31" s="232"/>
      <c r="J31" s="232"/>
      <c r="K31" s="231"/>
      <c r="L31" s="231"/>
      <c r="M31" s="231"/>
      <c r="N31" s="231"/>
      <c r="O31" s="76"/>
      <c r="P31" s="76"/>
      <c r="Q31" s="76"/>
      <c r="R31" s="76"/>
      <c r="S31" s="76"/>
      <c r="T31" s="76"/>
      <c r="U31" s="76"/>
      <c r="V31" s="76"/>
      <c r="W31" s="231">
        <f t="shared" si="3"/>
        <v>0</v>
      </c>
      <c r="X31" s="231">
        <f t="shared" ref="X31" si="7">SUM(H31,L31,P31,T31)</f>
        <v>0</v>
      </c>
      <c r="Y31" s="231">
        <f t="shared" ref="Y31" si="8">SUM(I31,M31,Q31,U31)</f>
        <v>0</v>
      </c>
      <c r="Z31" s="231">
        <f t="shared" ref="Z31" si="9">SUM(J31,N31,R31,V31)</f>
        <v>0</v>
      </c>
    </row>
    <row r="32" spans="1:31" ht="20.100000000000001" customHeight="1">
      <c r="A32" s="526" t="s">
        <v>60</v>
      </c>
      <c r="B32" s="527"/>
      <c r="C32" s="527"/>
      <c r="D32" s="527"/>
      <c r="E32" s="527"/>
      <c r="F32" s="528"/>
      <c r="G32" s="93">
        <f t="shared" ref="G32:V32" si="10">SUM(G31:G31)</f>
        <v>0</v>
      </c>
      <c r="H32" s="93">
        <f t="shared" si="10"/>
        <v>0</v>
      </c>
      <c r="I32" s="93">
        <f t="shared" si="10"/>
        <v>0</v>
      </c>
      <c r="J32" s="93">
        <f t="shared" si="10"/>
        <v>0</v>
      </c>
      <c r="K32" s="169">
        <f>SUM(K30:K31)</f>
        <v>0</v>
      </c>
      <c r="L32" s="169">
        <f t="shared" ref="L32:R32" si="11">SUM(L30:L31)</f>
        <v>667</v>
      </c>
      <c r="M32" s="169">
        <f t="shared" si="11"/>
        <v>667</v>
      </c>
      <c r="N32" s="169">
        <f t="shared" si="11"/>
        <v>667</v>
      </c>
      <c r="O32" s="169">
        <f t="shared" si="11"/>
        <v>37</v>
      </c>
      <c r="P32" s="169">
        <f t="shared" si="11"/>
        <v>136</v>
      </c>
      <c r="Q32" s="169">
        <f t="shared" si="11"/>
        <v>159</v>
      </c>
      <c r="R32" s="169">
        <f t="shared" si="11"/>
        <v>159</v>
      </c>
      <c r="S32" s="93">
        <f t="shared" si="10"/>
        <v>0</v>
      </c>
      <c r="T32" s="93">
        <f t="shared" si="10"/>
        <v>0</v>
      </c>
      <c r="U32" s="93">
        <f t="shared" si="10"/>
        <v>0</v>
      </c>
      <c r="V32" s="93">
        <f t="shared" si="10"/>
        <v>0</v>
      </c>
      <c r="W32" s="169">
        <f>SUM(W30:W31)</f>
        <v>37</v>
      </c>
      <c r="X32" s="169">
        <f t="shared" ref="X32:Z32" si="12">SUM(X30:X31)</f>
        <v>803</v>
      </c>
      <c r="Y32" s="169">
        <f t="shared" si="12"/>
        <v>826</v>
      </c>
      <c r="Z32" s="169">
        <f t="shared" si="12"/>
        <v>826</v>
      </c>
    </row>
    <row r="33" spans="1:31" ht="20.100000000000001" customHeight="1">
      <c r="A33" s="532" t="s">
        <v>61</v>
      </c>
      <c r="B33" s="533"/>
      <c r="C33" s="533"/>
      <c r="D33" s="533"/>
      <c r="E33" s="533"/>
      <c r="F33" s="534"/>
      <c r="G33" s="76"/>
      <c r="H33" s="76"/>
      <c r="I33" s="76"/>
      <c r="J33" s="76"/>
      <c r="K33" s="172">
        <v>0</v>
      </c>
      <c r="L33" s="172">
        <f>L32/X32*100</f>
        <v>83.063511830635122</v>
      </c>
      <c r="M33" s="172">
        <f t="shared" ref="M33:N33" si="13">M32/Y32*100</f>
        <v>80.75060532687651</v>
      </c>
      <c r="N33" s="172">
        <f t="shared" si="13"/>
        <v>80.75060532687651</v>
      </c>
      <c r="O33" s="172">
        <f>O32/W32*100</f>
        <v>100</v>
      </c>
      <c r="P33" s="172">
        <f t="shared" ref="P33:R33" si="14">P32/X32*100</f>
        <v>16.936488169364882</v>
      </c>
      <c r="Q33" s="172">
        <f t="shared" si="14"/>
        <v>19.249394673123486</v>
      </c>
      <c r="R33" s="172">
        <f t="shared" si="14"/>
        <v>19.249394673123486</v>
      </c>
      <c r="S33" s="76"/>
      <c r="T33" s="76"/>
      <c r="U33" s="76"/>
      <c r="V33" s="76"/>
      <c r="W33" s="76">
        <v>100</v>
      </c>
      <c r="X33" s="76">
        <v>100</v>
      </c>
      <c r="Y33" s="76">
        <v>100</v>
      </c>
      <c r="Z33" s="76">
        <v>100</v>
      </c>
    </row>
    <row r="34" spans="1:31" ht="20.100000000000001" customHeight="1">
      <c r="A34" s="16"/>
      <c r="B34" s="16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31" s="39" customFormat="1" ht="20.100000000000001" customHeight="1">
      <c r="B35" s="39" t="s">
        <v>256</v>
      </c>
    </row>
    <row r="36" spans="1:31" s="67" customFormat="1" ht="20.100000000000001" customHeight="1">
      <c r="A36" s="1"/>
      <c r="B36" s="1"/>
      <c r="C36" s="1"/>
      <c r="D36" s="1"/>
      <c r="E36" s="1"/>
      <c r="F36" s="1"/>
      <c r="G36" s="1"/>
      <c r="H36" s="1"/>
      <c r="I36" s="1"/>
      <c r="K36" s="1"/>
      <c r="AD36" s="174" t="s">
        <v>251</v>
      </c>
    </row>
    <row r="37" spans="1:31" s="68" customFormat="1" ht="34.5" customHeight="1">
      <c r="A37" s="382" t="s">
        <v>223</v>
      </c>
      <c r="B37" s="378" t="s">
        <v>301</v>
      </c>
      <c r="C37" s="378" t="s">
        <v>332</v>
      </c>
      <c r="D37" s="378"/>
      <c r="E37" s="378" t="s">
        <v>224</v>
      </c>
      <c r="F37" s="378"/>
      <c r="G37" s="378" t="s">
        <v>225</v>
      </c>
      <c r="H37" s="378"/>
      <c r="I37" s="378" t="s">
        <v>295</v>
      </c>
      <c r="J37" s="378"/>
      <c r="K37" s="378" t="s">
        <v>148</v>
      </c>
      <c r="L37" s="378"/>
      <c r="M37" s="378"/>
      <c r="N37" s="378"/>
      <c r="O37" s="378"/>
      <c r="P37" s="378"/>
      <c r="Q37" s="378"/>
      <c r="R37" s="378"/>
      <c r="S37" s="378"/>
      <c r="T37" s="378"/>
      <c r="U37" s="378" t="s">
        <v>333</v>
      </c>
      <c r="V37" s="378"/>
      <c r="W37" s="378"/>
      <c r="X37" s="378"/>
      <c r="Y37" s="378"/>
      <c r="Z37" s="378" t="s">
        <v>299</v>
      </c>
      <c r="AA37" s="378"/>
      <c r="AB37" s="378"/>
      <c r="AC37" s="378"/>
      <c r="AD37" s="378"/>
      <c r="AE37" s="378"/>
    </row>
    <row r="38" spans="1:31" s="68" customFormat="1" ht="52.5" customHeight="1">
      <c r="A38" s="382"/>
      <c r="B38" s="378"/>
      <c r="C38" s="378"/>
      <c r="D38" s="378"/>
      <c r="E38" s="378"/>
      <c r="F38" s="378"/>
      <c r="G38" s="378"/>
      <c r="H38" s="378"/>
      <c r="I38" s="378"/>
      <c r="J38" s="378"/>
      <c r="K38" s="378" t="s">
        <v>343</v>
      </c>
      <c r="L38" s="378"/>
      <c r="M38" s="378" t="s">
        <v>344</v>
      </c>
      <c r="N38" s="378"/>
      <c r="O38" s="378" t="s">
        <v>331</v>
      </c>
      <c r="P38" s="378"/>
      <c r="Q38" s="378"/>
      <c r="R38" s="378"/>
      <c r="S38" s="378"/>
      <c r="T38" s="378"/>
      <c r="U38" s="378"/>
      <c r="V38" s="378"/>
      <c r="W38" s="378"/>
      <c r="X38" s="378"/>
      <c r="Y38" s="378"/>
      <c r="Z38" s="378"/>
      <c r="AA38" s="378"/>
      <c r="AB38" s="378"/>
      <c r="AC38" s="378"/>
      <c r="AD38" s="378"/>
      <c r="AE38" s="378"/>
    </row>
    <row r="39" spans="1:31" s="69" customFormat="1" ht="82.5" customHeight="1">
      <c r="A39" s="382"/>
      <c r="B39" s="378"/>
      <c r="C39" s="378"/>
      <c r="D39" s="378"/>
      <c r="E39" s="378"/>
      <c r="F39" s="378"/>
      <c r="G39" s="378"/>
      <c r="H39" s="378"/>
      <c r="I39" s="378"/>
      <c r="J39" s="378"/>
      <c r="K39" s="378"/>
      <c r="L39" s="378"/>
      <c r="M39" s="378"/>
      <c r="N39" s="378"/>
      <c r="O39" s="378" t="s">
        <v>296</v>
      </c>
      <c r="P39" s="378"/>
      <c r="Q39" s="378" t="s">
        <v>297</v>
      </c>
      <c r="R39" s="378"/>
      <c r="S39" s="378" t="s">
        <v>298</v>
      </c>
      <c r="T39" s="378"/>
      <c r="U39" s="378"/>
      <c r="V39" s="378"/>
      <c r="W39" s="378"/>
      <c r="X39" s="378"/>
      <c r="Y39" s="378"/>
      <c r="Z39" s="378"/>
      <c r="AA39" s="378"/>
      <c r="AB39" s="378"/>
      <c r="AC39" s="378"/>
      <c r="AD39" s="378"/>
      <c r="AE39" s="378"/>
    </row>
    <row r="40" spans="1:31" s="68" customFormat="1" ht="18" customHeight="1">
      <c r="A40" s="6">
        <v>1</v>
      </c>
      <c r="B40" s="7">
        <v>2</v>
      </c>
      <c r="C40" s="378">
        <v>3</v>
      </c>
      <c r="D40" s="378"/>
      <c r="E40" s="378">
        <v>4</v>
      </c>
      <c r="F40" s="378"/>
      <c r="G40" s="378">
        <v>5</v>
      </c>
      <c r="H40" s="378"/>
      <c r="I40" s="378">
        <v>6</v>
      </c>
      <c r="J40" s="378"/>
      <c r="K40" s="437">
        <v>7</v>
      </c>
      <c r="L40" s="439"/>
      <c r="M40" s="437">
        <v>8</v>
      </c>
      <c r="N40" s="439"/>
      <c r="O40" s="378">
        <v>9</v>
      </c>
      <c r="P40" s="378"/>
      <c r="Q40" s="382">
        <v>10</v>
      </c>
      <c r="R40" s="382"/>
      <c r="S40" s="378">
        <v>11</v>
      </c>
      <c r="T40" s="378"/>
      <c r="U40" s="378">
        <v>12</v>
      </c>
      <c r="V40" s="378"/>
      <c r="W40" s="378"/>
      <c r="X40" s="378"/>
      <c r="Y40" s="378"/>
      <c r="Z40" s="378">
        <v>13</v>
      </c>
      <c r="AA40" s="378"/>
      <c r="AB40" s="378"/>
      <c r="AC40" s="378"/>
      <c r="AD40" s="378"/>
      <c r="AE40" s="378"/>
    </row>
    <row r="41" spans="1:31" s="68" customFormat="1" ht="20.100000000000001" customHeight="1">
      <c r="A41" s="84"/>
      <c r="B41" s="85"/>
      <c r="C41" s="483"/>
      <c r="D41" s="483"/>
      <c r="E41" s="435"/>
      <c r="F41" s="435"/>
      <c r="G41" s="435"/>
      <c r="H41" s="435"/>
      <c r="I41" s="435"/>
      <c r="J41" s="435"/>
      <c r="K41" s="484"/>
      <c r="L41" s="485"/>
      <c r="M41" s="481">
        <f t="shared" ref="M41:M47" si="15">SUM(O41,Q41,S41)</f>
        <v>0</v>
      </c>
      <c r="N41" s="482"/>
      <c r="O41" s="435"/>
      <c r="P41" s="435"/>
      <c r="Q41" s="435"/>
      <c r="R41" s="435"/>
      <c r="S41" s="435"/>
      <c r="T41" s="435"/>
      <c r="U41" s="488"/>
      <c r="V41" s="488"/>
      <c r="W41" s="488"/>
      <c r="X41" s="488"/>
      <c r="Y41" s="488"/>
      <c r="Z41" s="487"/>
      <c r="AA41" s="487"/>
      <c r="AB41" s="487"/>
      <c r="AC41" s="487"/>
      <c r="AD41" s="487"/>
      <c r="AE41" s="487"/>
    </row>
    <row r="42" spans="1:31" s="68" customFormat="1" ht="20.100000000000001" customHeight="1">
      <c r="A42" s="84"/>
      <c r="B42" s="85"/>
      <c r="C42" s="483"/>
      <c r="D42" s="483"/>
      <c r="E42" s="435"/>
      <c r="F42" s="435"/>
      <c r="G42" s="435"/>
      <c r="H42" s="435"/>
      <c r="I42" s="435"/>
      <c r="J42" s="435"/>
      <c r="K42" s="484"/>
      <c r="L42" s="485"/>
      <c r="M42" s="481">
        <f t="shared" si="15"/>
        <v>0</v>
      </c>
      <c r="N42" s="482"/>
      <c r="O42" s="435"/>
      <c r="P42" s="435"/>
      <c r="Q42" s="435"/>
      <c r="R42" s="435"/>
      <c r="S42" s="435"/>
      <c r="T42" s="435"/>
      <c r="U42" s="488"/>
      <c r="V42" s="488"/>
      <c r="W42" s="488"/>
      <c r="X42" s="488"/>
      <c r="Y42" s="488"/>
      <c r="Z42" s="487"/>
      <c r="AA42" s="487"/>
      <c r="AB42" s="487"/>
      <c r="AC42" s="487"/>
      <c r="AD42" s="487"/>
      <c r="AE42" s="487"/>
    </row>
    <row r="43" spans="1:31" s="68" customFormat="1" ht="20.100000000000001" customHeight="1">
      <c r="A43" s="84"/>
      <c r="B43" s="85"/>
      <c r="C43" s="483"/>
      <c r="D43" s="483"/>
      <c r="E43" s="435"/>
      <c r="F43" s="435"/>
      <c r="G43" s="435"/>
      <c r="H43" s="435"/>
      <c r="I43" s="435"/>
      <c r="J43" s="435"/>
      <c r="K43" s="484"/>
      <c r="L43" s="485"/>
      <c r="M43" s="481">
        <f t="shared" si="15"/>
        <v>0</v>
      </c>
      <c r="N43" s="482"/>
      <c r="O43" s="435"/>
      <c r="P43" s="435"/>
      <c r="Q43" s="435"/>
      <c r="R43" s="435"/>
      <c r="S43" s="435"/>
      <c r="T43" s="435"/>
      <c r="U43" s="488"/>
      <c r="V43" s="488"/>
      <c r="W43" s="488"/>
      <c r="X43" s="488"/>
      <c r="Y43" s="488"/>
      <c r="Z43" s="487"/>
      <c r="AA43" s="487"/>
      <c r="AB43" s="487"/>
      <c r="AC43" s="487"/>
      <c r="AD43" s="487"/>
      <c r="AE43" s="487"/>
    </row>
    <row r="44" spans="1:31" s="68" customFormat="1" ht="20.100000000000001" customHeight="1">
      <c r="A44" s="84"/>
      <c r="B44" s="85"/>
      <c r="C44" s="483"/>
      <c r="D44" s="483"/>
      <c r="E44" s="435"/>
      <c r="F44" s="435"/>
      <c r="G44" s="435"/>
      <c r="H44" s="435"/>
      <c r="I44" s="435"/>
      <c r="J44" s="435"/>
      <c r="K44" s="484"/>
      <c r="L44" s="485"/>
      <c r="M44" s="481">
        <f>SUM(O44,Q44,S44)</f>
        <v>0</v>
      </c>
      <c r="N44" s="482"/>
      <c r="O44" s="435"/>
      <c r="P44" s="435"/>
      <c r="Q44" s="435"/>
      <c r="R44" s="435"/>
      <c r="S44" s="435"/>
      <c r="T44" s="435"/>
      <c r="U44" s="488"/>
      <c r="V44" s="488"/>
      <c r="W44" s="488"/>
      <c r="X44" s="488"/>
      <c r="Y44" s="488"/>
      <c r="Z44" s="487"/>
      <c r="AA44" s="487"/>
      <c r="AB44" s="487"/>
      <c r="AC44" s="487"/>
      <c r="AD44" s="487"/>
      <c r="AE44" s="487"/>
    </row>
    <row r="45" spans="1:31" s="68" customFormat="1" ht="20.100000000000001" customHeight="1">
      <c r="A45" s="84"/>
      <c r="B45" s="85"/>
      <c r="C45" s="483"/>
      <c r="D45" s="483"/>
      <c r="E45" s="435"/>
      <c r="F45" s="435"/>
      <c r="G45" s="435"/>
      <c r="H45" s="435"/>
      <c r="I45" s="435"/>
      <c r="J45" s="435"/>
      <c r="K45" s="484"/>
      <c r="L45" s="485"/>
      <c r="M45" s="481">
        <f t="shared" si="15"/>
        <v>0</v>
      </c>
      <c r="N45" s="482"/>
      <c r="O45" s="435"/>
      <c r="P45" s="435"/>
      <c r="Q45" s="435"/>
      <c r="R45" s="435"/>
      <c r="S45" s="435"/>
      <c r="T45" s="435"/>
      <c r="U45" s="488"/>
      <c r="V45" s="488"/>
      <c r="W45" s="488"/>
      <c r="X45" s="488"/>
      <c r="Y45" s="488"/>
      <c r="Z45" s="487"/>
      <c r="AA45" s="487"/>
      <c r="AB45" s="487"/>
      <c r="AC45" s="487"/>
      <c r="AD45" s="487"/>
      <c r="AE45" s="487"/>
    </row>
    <row r="46" spans="1:31" s="68" customFormat="1" ht="20.100000000000001" customHeight="1">
      <c r="A46" s="84"/>
      <c r="B46" s="85"/>
      <c r="C46" s="483"/>
      <c r="D46" s="483"/>
      <c r="E46" s="435"/>
      <c r="F46" s="435"/>
      <c r="G46" s="435"/>
      <c r="H46" s="435"/>
      <c r="I46" s="435"/>
      <c r="J46" s="435"/>
      <c r="K46" s="484"/>
      <c r="L46" s="485"/>
      <c r="M46" s="481">
        <f t="shared" si="15"/>
        <v>0</v>
      </c>
      <c r="N46" s="482"/>
      <c r="O46" s="435"/>
      <c r="P46" s="435"/>
      <c r="Q46" s="435"/>
      <c r="R46" s="435"/>
      <c r="S46" s="435"/>
      <c r="T46" s="435"/>
      <c r="U46" s="488"/>
      <c r="V46" s="488"/>
      <c r="W46" s="488"/>
      <c r="X46" s="488"/>
      <c r="Y46" s="488"/>
      <c r="Z46" s="487"/>
      <c r="AA46" s="487"/>
      <c r="AB46" s="487"/>
      <c r="AC46" s="487"/>
      <c r="AD46" s="487"/>
      <c r="AE46" s="487"/>
    </row>
    <row r="47" spans="1:31" s="68" customFormat="1" ht="20.100000000000001" customHeight="1">
      <c r="A47" s="84"/>
      <c r="B47" s="85"/>
      <c r="C47" s="483"/>
      <c r="D47" s="483"/>
      <c r="E47" s="435"/>
      <c r="F47" s="435"/>
      <c r="G47" s="435"/>
      <c r="H47" s="435"/>
      <c r="I47" s="435"/>
      <c r="J47" s="435"/>
      <c r="K47" s="484"/>
      <c r="L47" s="485"/>
      <c r="M47" s="481">
        <f t="shared" si="15"/>
        <v>0</v>
      </c>
      <c r="N47" s="482"/>
      <c r="O47" s="435"/>
      <c r="P47" s="435"/>
      <c r="Q47" s="435"/>
      <c r="R47" s="435"/>
      <c r="S47" s="435"/>
      <c r="T47" s="435"/>
      <c r="U47" s="488"/>
      <c r="V47" s="488"/>
      <c r="W47" s="488"/>
      <c r="X47" s="488"/>
      <c r="Y47" s="488"/>
      <c r="Z47" s="487"/>
      <c r="AA47" s="487"/>
      <c r="AB47" s="487"/>
      <c r="AC47" s="487"/>
      <c r="AD47" s="487"/>
      <c r="AE47" s="487"/>
    </row>
    <row r="48" spans="1:31" s="68" customFormat="1" ht="20.100000000000001" customHeight="1">
      <c r="A48" s="532" t="s">
        <v>60</v>
      </c>
      <c r="B48" s="533"/>
      <c r="C48" s="533"/>
      <c r="D48" s="534"/>
      <c r="E48" s="486">
        <f>SUM(E41:F47)</f>
        <v>0</v>
      </c>
      <c r="F48" s="486"/>
      <c r="G48" s="486">
        <f>SUM(G41:H47)</f>
        <v>0</v>
      </c>
      <c r="H48" s="486"/>
      <c r="I48" s="486">
        <f>SUM(I41:J47)</f>
        <v>0</v>
      </c>
      <c r="J48" s="486"/>
      <c r="K48" s="486">
        <f>SUM(K41:L47)</f>
        <v>0</v>
      </c>
      <c r="L48" s="486"/>
      <c r="M48" s="486">
        <f>SUM(M41:N47)</f>
        <v>0</v>
      </c>
      <c r="N48" s="486"/>
      <c r="O48" s="486">
        <f>SUM(O41:P47)</f>
        <v>0</v>
      </c>
      <c r="P48" s="486"/>
      <c r="Q48" s="486">
        <f>SUM(Q41:R47)</f>
        <v>0</v>
      </c>
      <c r="R48" s="486"/>
      <c r="S48" s="486">
        <f>SUM(S41:T47)</f>
        <v>0</v>
      </c>
      <c r="T48" s="486"/>
      <c r="U48" s="488"/>
      <c r="V48" s="488"/>
      <c r="W48" s="488"/>
      <c r="X48" s="488"/>
      <c r="Y48" s="488"/>
      <c r="Z48" s="487"/>
      <c r="AA48" s="487"/>
      <c r="AB48" s="487"/>
      <c r="AC48" s="487"/>
      <c r="AD48" s="487"/>
      <c r="AE48" s="487"/>
    </row>
    <row r="49" spans="1:28" ht="20.100000000000001" customHeight="1">
      <c r="A49" s="16"/>
      <c r="B49" s="16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8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8" s="4" customFormat="1" ht="20.100000000000001" customHeight="1">
      <c r="C51" s="39"/>
      <c r="D51" s="39"/>
      <c r="E51" s="39"/>
      <c r="F51" s="39"/>
      <c r="G51" s="39"/>
      <c r="H51" s="39"/>
      <c r="I51" s="39"/>
      <c r="J51" s="39"/>
      <c r="K51" s="39"/>
    </row>
    <row r="52" spans="1:28" s="175" customFormat="1" ht="36" customHeight="1">
      <c r="B52" s="542" t="s">
        <v>403</v>
      </c>
      <c r="C52" s="543"/>
      <c r="D52" s="543"/>
      <c r="E52" s="543"/>
      <c r="F52" s="543"/>
      <c r="G52" s="176"/>
      <c r="H52" s="176"/>
      <c r="I52" s="176"/>
      <c r="J52" s="176"/>
      <c r="K52" s="176"/>
      <c r="L52" s="544" t="s">
        <v>259</v>
      </c>
      <c r="M52" s="544"/>
      <c r="N52" s="544"/>
      <c r="O52" s="544"/>
      <c r="P52" s="544"/>
      <c r="Q52" s="177"/>
      <c r="R52" s="177"/>
      <c r="S52" s="177"/>
      <c r="T52" s="177"/>
      <c r="U52" s="177"/>
      <c r="V52" s="545" t="s">
        <v>399</v>
      </c>
      <c r="W52" s="546"/>
      <c r="X52" s="546"/>
      <c r="Y52" s="546"/>
      <c r="Z52" s="546"/>
    </row>
    <row r="53" spans="1:28" s="4" customFormat="1" ht="19.5" customHeight="1">
      <c r="B53" s="3"/>
      <c r="C53" s="4" t="s">
        <v>83</v>
      </c>
      <c r="E53" s="43"/>
      <c r="F53" s="43"/>
      <c r="G53" s="43"/>
      <c r="H53" s="43"/>
      <c r="I53" s="43"/>
      <c r="J53" s="43"/>
      <c r="K53" s="43"/>
      <c r="M53" s="3"/>
      <c r="N53" s="25" t="s">
        <v>84</v>
      </c>
      <c r="O53" s="3"/>
      <c r="Q53" s="43"/>
      <c r="R53" s="43"/>
      <c r="S53" s="43"/>
      <c r="V53" s="541" t="s">
        <v>142</v>
      </c>
      <c r="W53" s="541"/>
      <c r="X53" s="541"/>
      <c r="Y53" s="541"/>
      <c r="Z53" s="541"/>
    </row>
    <row r="54" spans="1:28" ht="20.100000000000001" customHeight="1">
      <c r="B54" s="35"/>
      <c r="C54" s="35"/>
      <c r="D54" s="35"/>
      <c r="E54" s="35"/>
      <c r="F54" s="35"/>
      <c r="G54" s="35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35"/>
      <c r="U54" s="35"/>
      <c r="AB54" s="1">
        <v>1</v>
      </c>
    </row>
    <row r="55" spans="1:28" ht="20.100000000000001" customHeight="1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8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8">
      <c r="B57" s="36"/>
    </row>
    <row r="60" spans="1:28" ht="19.5">
      <c r="B60" s="37"/>
    </row>
    <row r="61" spans="1:28" ht="19.5">
      <c r="B61" s="37"/>
    </row>
    <row r="62" spans="1:28" ht="19.5">
      <c r="B62" s="37"/>
    </row>
    <row r="63" spans="1:28" ht="19.5">
      <c r="B63" s="37"/>
    </row>
    <row r="64" spans="1:28" ht="19.5">
      <c r="B64" s="37"/>
    </row>
    <row r="65" spans="2:2" ht="19.5">
      <c r="B65" s="37"/>
    </row>
    <row r="66" spans="2:2" ht="19.5">
      <c r="B66" s="37"/>
    </row>
  </sheetData>
  <sheetProtection formatCells="0" formatColumns="0" formatRows="0" insertColumns="0" insertRows="0" insertHyperlinks="0" deleteColumns="0" deleteRows="0" sort="0" autoFilter="0" pivotTables="0"/>
  <customSheetViews>
    <customSheetView guid="{4BF2F851-A775-4F33-8DA4-C59D9D94DA9D}" scale="70" showPageBreaks="1" printArea="1" view="pageBreakPreview" topLeftCell="A13">
      <selection activeCell="K34" sqref="K34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  <customSheetView guid="{43DCEB14-ADF8-4168-9283-6542A71D3CF7}" scale="70" showPageBreaks="1" printArea="1" view="pageBreakPreview">
      <selection activeCell="N35" sqref="N35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3"/>
      <headerFooter alignWithMargins="0"/>
    </customSheetView>
  </customSheetViews>
  <mergeCells count="244">
    <mergeCell ref="Q11:S11"/>
    <mergeCell ref="Z11:AB11"/>
    <mergeCell ref="V53:Z53"/>
    <mergeCell ref="B52:F52"/>
    <mergeCell ref="L52:P52"/>
    <mergeCell ref="V52:Z52"/>
    <mergeCell ref="S27:V27"/>
    <mergeCell ref="W26:Z26"/>
    <mergeCell ref="O27:R27"/>
    <mergeCell ref="K27:N27"/>
    <mergeCell ref="K26:N26"/>
    <mergeCell ref="O26:R26"/>
    <mergeCell ref="Z48:AE48"/>
    <mergeCell ref="A48:D48"/>
    <mergeCell ref="C47:D47"/>
    <mergeCell ref="E47:F47"/>
    <mergeCell ref="M47:N47"/>
    <mergeCell ref="Z47:AE47"/>
    <mergeCell ref="Q48:R48"/>
    <mergeCell ref="K48:L48"/>
    <mergeCell ref="G43:H43"/>
    <mergeCell ref="I43:J43"/>
    <mergeCell ref="U37:Y39"/>
    <mergeCell ref="K37:T37"/>
    <mergeCell ref="AB1:AE1"/>
    <mergeCell ref="Q47:R47"/>
    <mergeCell ref="S43:T43"/>
    <mergeCell ref="U43:Y43"/>
    <mergeCell ref="S45:T45"/>
    <mergeCell ref="U45:Y45"/>
    <mergeCell ref="S41:T41"/>
    <mergeCell ref="A22:U22"/>
    <mergeCell ref="O47:P47"/>
    <mergeCell ref="S47:T47"/>
    <mergeCell ref="U47:Y47"/>
    <mergeCell ref="Z44:AE44"/>
    <mergeCell ref="S44:T44"/>
    <mergeCell ref="U44:Y44"/>
    <mergeCell ref="S46:T46"/>
    <mergeCell ref="U46:Y46"/>
    <mergeCell ref="Z45:AE45"/>
    <mergeCell ref="M42:N42"/>
    <mergeCell ref="M11:P11"/>
    <mergeCell ref="T11:V11"/>
    <mergeCell ref="W11:Y11"/>
    <mergeCell ref="AC11:AE11"/>
    <mergeCell ref="Q42:R42"/>
    <mergeCell ref="Q41:R41"/>
    <mergeCell ref="W27:Z27"/>
    <mergeCell ref="Z37:AE39"/>
    <mergeCell ref="K42:L42"/>
    <mergeCell ref="S48:T48"/>
    <mergeCell ref="U48:Y48"/>
    <mergeCell ref="O41:P41"/>
    <mergeCell ref="O42:P42"/>
    <mergeCell ref="S26:V26"/>
    <mergeCell ref="B26:F28"/>
    <mergeCell ref="A32:F32"/>
    <mergeCell ref="A26:A28"/>
    <mergeCell ref="B29:F29"/>
    <mergeCell ref="B37:B39"/>
    <mergeCell ref="C37:D39"/>
    <mergeCell ref="E37:F39"/>
    <mergeCell ref="B31:F31"/>
    <mergeCell ref="A33:F33"/>
    <mergeCell ref="A37:A39"/>
    <mergeCell ref="O38:T38"/>
    <mergeCell ref="Q39:R39"/>
    <mergeCell ref="B30:F30"/>
    <mergeCell ref="G26:J26"/>
    <mergeCell ref="M38:N39"/>
    <mergeCell ref="S39:T39"/>
    <mergeCell ref="AB21:AC21"/>
    <mergeCell ref="AD21:AE21"/>
    <mergeCell ref="Z21:AA21"/>
    <mergeCell ref="AB22:AC22"/>
    <mergeCell ref="AD22:AE22"/>
    <mergeCell ref="C20:F20"/>
    <mergeCell ref="G20:P20"/>
    <mergeCell ref="Q20:U20"/>
    <mergeCell ref="V20:W20"/>
    <mergeCell ref="X20:Y20"/>
    <mergeCell ref="V21:W21"/>
    <mergeCell ref="X22:Y22"/>
    <mergeCell ref="V22:W22"/>
    <mergeCell ref="Z22:AA22"/>
    <mergeCell ref="C21:F21"/>
    <mergeCell ref="G21:P21"/>
    <mergeCell ref="Q21:U21"/>
    <mergeCell ref="X21:Y21"/>
    <mergeCell ref="AB19:AC19"/>
    <mergeCell ref="AD19:AE19"/>
    <mergeCell ref="X19:Y19"/>
    <mergeCell ref="V19:W19"/>
    <mergeCell ref="Q19:U19"/>
    <mergeCell ref="C19:F19"/>
    <mergeCell ref="Z19:AA19"/>
    <mergeCell ref="AB20:AC20"/>
    <mergeCell ref="AD20:AE20"/>
    <mergeCell ref="Z20:AA20"/>
    <mergeCell ref="AC6:AE6"/>
    <mergeCell ref="Q6:S6"/>
    <mergeCell ref="AC10:AE10"/>
    <mergeCell ref="AC12:AE12"/>
    <mergeCell ref="AD18:AE18"/>
    <mergeCell ref="X17:AE17"/>
    <mergeCell ref="A12:L12"/>
    <mergeCell ref="M12:P12"/>
    <mergeCell ref="Q12:S12"/>
    <mergeCell ref="C9:F9"/>
    <mergeCell ref="G9:L9"/>
    <mergeCell ref="M9:P9"/>
    <mergeCell ref="Q9:S9"/>
    <mergeCell ref="C10:F10"/>
    <mergeCell ref="G10:L10"/>
    <mergeCell ref="M10:P10"/>
    <mergeCell ref="A16:A18"/>
    <mergeCell ref="B16:B18"/>
    <mergeCell ref="C16:F18"/>
    <mergeCell ref="G16:P18"/>
    <mergeCell ref="V16:AE16"/>
    <mergeCell ref="V17:W18"/>
    <mergeCell ref="G11:L11"/>
    <mergeCell ref="C11:F11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Q5:S5"/>
    <mergeCell ref="AC5:AE5"/>
    <mergeCell ref="AC9:AE9"/>
    <mergeCell ref="T9:V9"/>
    <mergeCell ref="W9:Y9"/>
    <mergeCell ref="Z18:AA18"/>
    <mergeCell ref="AB18:AC18"/>
    <mergeCell ref="Z12:AB12"/>
    <mergeCell ref="Z10:AB10"/>
    <mergeCell ref="Z9:AB9"/>
    <mergeCell ref="X18:Y18"/>
    <mergeCell ref="W8:Y8"/>
    <mergeCell ref="T8:V8"/>
    <mergeCell ref="T12:V12"/>
    <mergeCell ref="Q7:S7"/>
    <mergeCell ref="W10:Y10"/>
    <mergeCell ref="W12:Y12"/>
    <mergeCell ref="Q10:S10"/>
    <mergeCell ref="Q8:S8"/>
    <mergeCell ref="Q16:U18"/>
    <mergeCell ref="T10:V10"/>
    <mergeCell ref="Z6:AB6"/>
    <mergeCell ref="W6:Y6"/>
    <mergeCell ref="T6:V6"/>
    <mergeCell ref="G40:H40"/>
    <mergeCell ref="G27:J27"/>
    <mergeCell ref="I42:J42"/>
    <mergeCell ref="I41:J41"/>
    <mergeCell ref="O39:P39"/>
    <mergeCell ref="I37:J39"/>
    <mergeCell ref="K38:L39"/>
    <mergeCell ref="G19:P19"/>
    <mergeCell ref="G37:H39"/>
    <mergeCell ref="M41:N41"/>
    <mergeCell ref="M40:N40"/>
    <mergeCell ref="C46:D46"/>
    <mergeCell ref="G46:H46"/>
    <mergeCell ref="Q45:R45"/>
    <mergeCell ref="K46:L46"/>
    <mergeCell ref="K45:L45"/>
    <mergeCell ref="M46:N46"/>
    <mergeCell ref="O46:P46"/>
    <mergeCell ref="Q46:R46"/>
    <mergeCell ref="C45:D45"/>
    <mergeCell ref="M45:N45"/>
    <mergeCell ref="E45:F45"/>
    <mergeCell ref="G45:H45"/>
    <mergeCell ref="I45:J45"/>
    <mergeCell ref="E48:F48"/>
    <mergeCell ref="G48:H48"/>
    <mergeCell ref="I47:J47"/>
    <mergeCell ref="E46:F46"/>
    <mergeCell ref="Z42:AE42"/>
    <mergeCell ref="U40:Y40"/>
    <mergeCell ref="U41:Y41"/>
    <mergeCell ref="U42:Y42"/>
    <mergeCell ref="M48:N48"/>
    <mergeCell ref="G47:H47"/>
    <mergeCell ref="K47:L47"/>
    <mergeCell ref="O48:P48"/>
    <mergeCell ref="I48:J48"/>
    <mergeCell ref="S40:T40"/>
    <mergeCell ref="Q44:R44"/>
    <mergeCell ref="Z43:AE43"/>
    <mergeCell ref="I46:J46"/>
    <mergeCell ref="K44:L44"/>
    <mergeCell ref="K43:L43"/>
    <mergeCell ref="O45:P45"/>
    <mergeCell ref="Q43:R43"/>
    <mergeCell ref="Z46:AE46"/>
    <mergeCell ref="Z40:AE40"/>
    <mergeCell ref="Z41:AE41"/>
    <mergeCell ref="G44:H44"/>
    <mergeCell ref="I44:J44"/>
    <mergeCell ref="Q40:R40"/>
    <mergeCell ref="S42:T42"/>
    <mergeCell ref="M44:N44"/>
    <mergeCell ref="O44:P44"/>
    <mergeCell ref="M43:N43"/>
    <mergeCell ref="C44:D44"/>
    <mergeCell ref="E44:F44"/>
    <mergeCell ref="E42:F42"/>
    <mergeCell ref="C40:D40"/>
    <mergeCell ref="E40:F40"/>
    <mergeCell ref="C42:D42"/>
    <mergeCell ref="C41:D41"/>
    <mergeCell ref="E41:F41"/>
    <mergeCell ref="C43:D43"/>
    <mergeCell ref="E43:F43"/>
    <mergeCell ref="O40:P40"/>
    <mergeCell ref="G41:H41"/>
    <mergeCell ref="I40:J40"/>
    <mergeCell ref="K40:L40"/>
    <mergeCell ref="K41:L41"/>
    <mergeCell ref="G42:H42"/>
    <mergeCell ref="O43:P43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UserNEW</cp:lastModifiedBy>
  <cp:lastPrinted>2021-03-03T12:29:46Z</cp:lastPrinted>
  <dcterms:created xsi:type="dcterms:W3CDTF">2003-03-13T16:00:22Z</dcterms:created>
  <dcterms:modified xsi:type="dcterms:W3CDTF">2021-03-03T12:36:19Z</dcterms:modified>
</cp:coreProperties>
</file>