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6915" windowHeight="1530" tabRatio="500" activeTab="3"/>
  </bookViews>
  <sheets>
    <sheet name="Лист1" sheetId="1" r:id="rId1"/>
    <sheet name="Осн. фін. пок." sheetId="2" r:id="rId2"/>
    <sheet name="I. Фін результат" sheetId="3" r:id="rId3"/>
    <sheet name="ІІ. Розр. з бюджетом" sheetId="4" r:id="rId4"/>
    <sheet name="РУХ новый" sheetId="5" r:id="rId5"/>
    <sheet name="IV. Кап. інвестиції" sheetId="6" r:id="rId6"/>
    <sheet name=" V. Коефіцієнти" sheetId="7" r:id="rId7"/>
    <sheet name="6.1. Інша інфо_1" sheetId="8" r:id="rId8"/>
    <sheet name="6.2. Інша інфо_2" sheetId="9" r:id="rId9"/>
    <sheet name="Лист3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XGRAPH3">[23]gdp!$A$1</definedName>
    <definedName name="ad">'[1]МТР Газ України'!$B$1</definedName>
    <definedName name="as">'[2]МТР Газ України'!$B$1</definedName>
    <definedName name="asdf">[3]Inform!$E$6</definedName>
    <definedName name="asdfg">[3]Inform!$F$2</definedName>
    <definedName name="BuiltIn_Print_Area___1___1">#REF!</definedName>
    <definedName name="ClDate">[4]Inform!$E$6</definedName>
    <definedName name="ClDate_21">[5]Inform!$E$6</definedName>
    <definedName name="ClDate_25">[5]Inform!$E$6</definedName>
    <definedName name="ClDate_6">[6]Inform!$E$6</definedName>
    <definedName name="CompName">[4]Inform!$F$2</definedName>
    <definedName name="CompName_21">[5]Inform!$F$2</definedName>
    <definedName name="CompName_25">[5]Inform!$F$2</definedName>
    <definedName name="CompName_6">[6]Inform!$F$2</definedName>
    <definedName name="CompNameE">[4]Inform!$G$2</definedName>
    <definedName name="CompNameE_21">[5]Inform!$G$2</definedName>
    <definedName name="CompNameE_25">[5]Inform!$G$2</definedName>
    <definedName name="CompNameE_6">[6]Inform!$G$2</definedName>
    <definedName name="Cost_Category_National_ID">#REF!</definedName>
    <definedName name="Cе511">#REF!</definedName>
    <definedName name="d">'[7]МТР Газ України'!$B$4</definedName>
    <definedName name="Database">'[8]Ener '!$A$1:$G$2645</definedName>
    <definedName name="dCPIb">[9]попер_роз!$A$1</definedName>
    <definedName name="dPPIb">[9]попер_роз!$A$1</definedName>
    <definedName name="ds">'[10]7  Інші витрати'!$A$1</definedName>
    <definedName name="Fact_Type_ID">#REF!</definedName>
    <definedName name="G">'[9]МТР Газ України'!$B$1</definedName>
    <definedName name="ij1sssss">'[11]7  Інші витрати'!$A$1</definedName>
    <definedName name="LastItem">[12]Лист1!$A$1</definedName>
    <definedName name="Load">'[13]МТР Газ України'!$B$4</definedName>
    <definedName name="Load_ID">'[14]МТР Газ України'!$B$4</definedName>
    <definedName name="Load_ID_10">'[15]7  Інші витрати'!$A$1</definedName>
    <definedName name="Load_ID_11">'[16]МТР Газ України'!$B$4</definedName>
    <definedName name="Load_ID_12">'[16]МТР Газ України'!$B$4</definedName>
    <definedName name="Load_ID_13">'[16]МТР Газ України'!$B$4</definedName>
    <definedName name="Load_ID_14">'[16]МТР Газ України'!$B$4</definedName>
    <definedName name="Load_ID_15">'[16]МТР Газ України'!$B$4</definedName>
    <definedName name="Load_ID_16">'[16]МТР Газ України'!$B$4</definedName>
    <definedName name="Load_ID_17">'[16]МТР Газ України'!$B$4</definedName>
    <definedName name="Load_ID_18">'[17]МТР Газ України'!$B$4</definedName>
    <definedName name="Load_ID_19">'[18]МТР Газ України'!$B$4</definedName>
    <definedName name="Load_ID_20">'[17]МТР Газ України'!$B$4</definedName>
    <definedName name="Load_ID_200">'[13]МТР Газ України'!$B$4</definedName>
    <definedName name="Load_ID_21">'[19]МТР Газ України'!$B$4</definedName>
    <definedName name="Load_ID_23">'[18]МТР Газ України'!$B$4</definedName>
    <definedName name="Load_ID_25">'[19]МТР Газ України'!$B$4</definedName>
    <definedName name="Load_ID_542">'[20]МТР Газ України'!$B$4</definedName>
    <definedName name="Load_ID_6">'[16]МТР Газ України'!$B$4</definedName>
    <definedName name="OpDate">[4]Inform!$E$5</definedName>
    <definedName name="OpDate_21">[5]Inform!$E$5</definedName>
    <definedName name="OpDate_25">[5]Inform!$E$5</definedName>
    <definedName name="OpDate_6">[6]Inform!$E$5</definedName>
    <definedName name="Print_Titles_0" localSheetId="6">' V. Коефіцієнти'!$5:$5</definedName>
    <definedName name="Print_Titles_0" localSheetId="2">'I. Фін результат'!$5:$5</definedName>
    <definedName name="Print_Titles_0" localSheetId="3">'ІІ. Розр. з бюджетом'!$5:$5</definedName>
    <definedName name="Print_Titles_0" localSheetId="1">'Осн. фін. пок.'!$37:$37</definedName>
    <definedName name="QR">[21]Inform!$E$5</definedName>
    <definedName name="qw">[3]Inform!$E$5</definedName>
    <definedName name="qwert">[3]Inform!$G$2</definedName>
    <definedName name="qwerty">'[2]МТР Газ України'!$B$4</definedName>
    <definedName name="SU_ID">#REF!</definedName>
    <definedName name="Time_ID">'[14]МТР Газ України'!$B$1</definedName>
    <definedName name="Time_ID_10">'[15]7  Інші витрати'!$A$1</definedName>
    <definedName name="Time_ID_11">'[16]МТР Газ України'!$B$1</definedName>
    <definedName name="Time_ID_12">'[16]МТР Газ України'!$B$1</definedName>
    <definedName name="Time_ID_13">'[16]МТР Газ України'!$B$1</definedName>
    <definedName name="Time_ID_14">'[16]МТР Газ України'!$B$1</definedName>
    <definedName name="Time_ID_15">'[16]МТР Газ України'!$B$1</definedName>
    <definedName name="Time_ID_16">'[16]МТР Газ України'!$B$1</definedName>
    <definedName name="Time_ID_17">'[16]МТР Газ України'!$B$1</definedName>
    <definedName name="Time_ID_18">'[17]МТР Газ України'!$B$1</definedName>
    <definedName name="Time_ID_19">'[18]МТР Газ України'!$B$1</definedName>
    <definedName name="Time_ID_20">'[17]МТР Газ України'!$B$1</definedName>
    <definedName name="Time_ID_21">'[19]МТР Газ України'!$B$1</definedName>
    <definedName name="Time_ID_23">'[18]МТР Газ України'!$B$1</definedName>
    <definedName name="Time_ID_25">'[19]МТР Газ України'!$B$1</definedName>
    <definedName name="Time_ID_6">'[16]МТР Газ України'!$B$1</definedName>
    <definedName name="Time_ID0">'[14]МТР Газ України'!$F$1</definedName>
    <definedName name="Time_ID0_10">'[15]7  Інші витрати'!$A$1</definedName>
    <definedName name="Time_ID0_11">'[16]МТР Газ України'!$F$1</definedName>
    <definedName name="Time_ID0_12">'[16]МТР Газ України'!$F$1</definedName>
    <definedName name="Time_ID0_13">'[16]МТР Газ України'!$F$1</definedName>
    <definedName name="Time_ID0_14">'[16]МТР Газ України'!$F$1</definedName>
    <definedName name="Time_ID0_15">'[16]МТР Газ України'!$F$1</definedName>
    <definedName name="Time_ID0_16">'[16]МТР Газ України'!$F$1</definedName>
    <definedName name="Time_ID0_17">'[16]МТР Газ України'!$F$1</definedName>
    <definedName name="Time_ID0_18">'[17]МТР Газ України'!$F$1</definedName>
    <definedName name="Time_ID0_19">'[18]МТР Газ України'!$F$1</definedName>
    <definedName name="Time_ID0_20">'[17]МТР Газ України'!$F$1</definedName>
    <definedName name="Time_ID0_21">'[19]МТР Газ України'!$F$1</definedName>
    <definedName name="Time_ID0_23">'[18]МТР Газ України'!$F$1</definedName>
    <definedName name="Time_ID0_25">'[19]МТР Газ України'!$F$1</definedName>
    <definedName name="Time_ID0_6">'[16]МТР Газ України'!$F$1</definedName>
    <definedName name="ttttttt">#REF!</definedName>
    <definedName name="Unit">[4]Inform!$E$38</definedName>
    <definedName name="Unit_21">[5]Inform!$E$38</definedName>
    <definedName name="Unit_25">[5]Inform!$E$38</definedName>
    <definedName name="Unit_6">[6]Inform!$E$38</definedName>
    <definedName name="WQER">'[22]МТР Газ України'!$B$4</definedName>
    <definedName name="wr">'[22]МТР Газ України'!$B$4</definedName>
    <definedName name="yyyy">#REF!</definedName>
    <definedName name="zx">'[2]МТР Газ України'!$F$1</definedName>
    <definedName name="zxc">[3]Inform!$E$38</definedName>
    <definedName name="а">'[11]7  Інші витрати'!$A$1</definedName>
    <definedName name="ав">#REF!</definedName>
    <definedName name="аен">'[22]МТР Газ України'!$B$4</definedName>
    <definedName name="в">'[26]МТР Газ України'!$F$1</definedName>
    <definedName name="ватт">'[27]БАЗА  '!$A$1</definedName>
    <definedName name="Д">'[13]МТР Газ України'!$B$4</definedName>
    <definedName name="е">#REF!</definedName>
    <definedName name="є">#REF!</definedName>
    <definedName name="_xlnm.Print_Titles" localSheetId="6">' V. Коефіцієнти'!$5:$5</definedName>
    <definedName name="_xlnm.Print_Titles" localSheetId="2">'I. Фін результат'!$5:$5</definedName>
    <definedName name="_xlnm.Print_Titles" localSheetId="3">'ІІ. Розр. з бюджетом'!$5:$5</definedName>
    <definedName name="_xlnm.Print_Titles" localSheetId="1">'Осн. фін. пок.'!$37:$37</definedName>
    <definedName name="і">[24]Inform!$F$2</definedName>
    <definedName name="ів">#REF!</definedName>
    <definedName name="ів___0">#REF!</definedName>
    <definedName name="ів_22">#REF!</definedName>
    <definedName name="ів_26">#REF!</definedName>
    <definedName name="іваіа">'[25]7  Інші витрати'!$A$1</definedName>
    <definedName name="іваф">#REF!</definedName>
    <definedName name="івів">'[9]МТР Газ України'!$B$1</definedName>
    <definedName name="іцу">[21]Inform!$G$2</definedName>
    <definedName name="йуц">#REF!</definedName>
    <definedName name="йцу">#REF!</definedName>
    <definedName name="йцуйй">#REF!</definedName>
    <definedName name="йцукц">'[25]7  Інші витрати'!$A$1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 V. Коефіцієнти'!$A$1:$H$26</definedName>
    <definedName name="_xlnm.Print_Area" localSheetId="7">'6.1. Інша інфо_1'!$A$1:$O$84</definedName>
    <definedName name="_xlnm.Print_Area" localSheetId="8">'6.2. Інша інфо_2'!$A$1:$AE$63</definedName>
    <definedName name="_xlnm.Print_Area" localSheetId="2">'I. Фін результат'!$A$1:$K$155</definedName>
    <definedName name="_xlnm.Print_Area" localSheetId="5">'IV. Кап. інвестиції'!$A$1:$I$16</definedName>
    <definedName name="_xlnm.Print_Area" localSheetId="3">'ІІ. Розр. з бюджетом'!$A$1:$I$43</definedName>
    <definedName name="_xlnm.Print_Area" localSheetId="4">'РУХ новый'!$A$1:$I$113</definedName>
    <definedName name="п">'[11]7  Інші витрати'!$A$1</definedName>
    <definedName name="пдв">'[13]МТР Газ України'!$B$4</definedName>
    <definedName name="пдв_утг">'[13]МТР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[28]Inform!$E$6</definedName>
    <definedName name="р">#REF!</definedName>
    <definedName name="т">[29]Inform!$E$6</definedName>
    <definedName name="тариф">[30]Inform!$G$2</definedName>
    <definedName name="уйцукйцуйу">#REF!</definedName>
    <definedName name="уке">[31]Inform!$G$2</definedName>
    <definedName name="УТГ">'[13]МТР Газ України'!$B$4</definedName>
    <definedName name="фів">'[22]МТР Газ України'!$B$4</definedName>
    <definedName name="фіваіф">'[25]7  Інші витрати'!$A$1</definedName>
    <definedName name="фф">'[26]МТР Газ України'!$F$1</definedName>
    <definedName name="ц">'[11]7  Інші витрати'!$A$1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K64" i="10" l="1"/>
  <c r="C30" i="10"/>
  <c r="Q29" i="10"/>
  <c r="O29" i="10"/>
  <c r="M29" i="10"/>
  <c r="K29" i="10"/>
  <c r="F29" i="10"/>
  <c r="G29" i="10" s="1"/>
  <c r="I29" i="10" s="1"/>
  <c r="Q28" i="10"/>
  <c r="O28" i="10"/>
  <c r="M28" i="10"/>
  <c r="K28" i="10"/>
  <c r="F28" i="10"/>
  <c r="P28" i="10" s="1"/>
  <c r="R27" i="10"/>
  <c r="Q27" i="10"/>
  <c r="O27" i="10"/>
  <c r="N27" i="10"/>
  <c r="M27" i="10"/>
  <c r="K27" i="10"/>
  <c r="F27" i="10"/>
  <c r="G27" i="10" s="1"/>
  <c r="I27" i="10" s="1"/>
  <c r="Q26" i="10"/>
  <c r="O26" i="10"/>
  <c r="M26" i="10"/>
  <c r="K26" i="10"/>
  <c r="G26" i="10"/>
  <c r="I26" i="10" s="1"/>
  <c r="F26" i="10"/>
  <c r="R26" i="10" s="1"/>
  <c r="Q25" i="10"/>
  <c r="O25" i="10"/>
  <c r="M25" i="10"/>
  <c r="K25" i="10"/>
  <c r="F25" i="10"/>
  <c r="G25" i="10" s="1"/>
  <c r="I25" i="10" s="1"/>
  <c r="Q24" i="10"/>
  <c r="O24" i="10"/>
  <c r="M24" i="10"/>
  <c r="K24" i="10"/>
  <c r="F24" i="10"/>
  <c r="P24" i="10" s="1"/>
  <c r="R23" i="10"/>
  <c r="Q23" i="10"/>
  <c r="O23" i="10"/>
  <c r="N23" i="10"/>
  <c r="M23" i="10"/>
  <c r="K23" i="10"/>
  <c r="F23" i="10"/>
  <c r="G23" i="10" s="1"/>
  <c r="I23" i="10" s="1"/>
  <c r="Q22" i="10"/>
  <c r="O22" i="10"/>
  <c r="M22" i="10"/>
  <c r="K22" i="10"/>
  <c r="G22" i="10"/>
  <c r="I22" i="10" s="1"/>
  <c r="F22" i="10"/>
  <c r="R22" i="10" s="1"/>
  <c r="Q20" i="10"/>
  <c r="O20" i="10"/>
  <c r="M20" i="10"/>
  <c r="K20" i="10"/>
  <c r="F20" i="10"/>
  <c r="G20" i="10" s="1"/>
  <c r="I20" i="10" s="1"/>
  <c r="Q19" i="10"/>
  <c r="O19" i="10"/>
  <c r="M19" i="10"/>
  <c r="K19" i="10"/>
  <c r="F19" i="10"/>
  <c r="P19" i="10" s="1"/>
  <c r="R18" i="10"/>
  <c r="Q18" i="10"/>
  <c r="O18" i="10"/>
  <c r="N18" i="10"/>
  <c r="M18" i="10"/>
  <c r="K18" i="10"/>
  <c r="F18" i="10"/>
  <c r="G18" i="10" s="1"/>
  <c r="I18" i="10" s="1"/>
  <c r="Q16" i="10"/>
  <c r="O16" i="10"/>
  <c r="M16" i="10"/>
  <c r="K16" i="10"/>
  <c r="G16" i="10"/>
  <c r="I16" i="10" s="1"/>
  <c r="F16" i="10"/>
  <c r="R16" i="10" s="1"/>
  <c r="Q15" i="10"/>
  <c r="O15" i="10"/>
  <c r="M15" i="10"/>
  <c r="K15" i="10"/>
  <c r="F15" i="10"/>
  <c r="G15" i="10" s="1"/>
  <c r="I15" i="10" s="1"/>
  <c r="Q14" i="10"/>
  <c r="O14" i="10"/>
  <c r="M14" i="10"/>
  <c r="K14" i="10"/>
  <c r="F14" i="10"/>
  <c r="P14" i="10" s="1"/>
  <c r="R12" i="10"/>
  <c r="Q12" i="10"/>
  <c r="O12" i="10"/>
  <c r="N12" i="10"/>
  <c r="M12" i="10"/>
  <c r="K12" i="10"/>
  <c r="F12" i="10"/>
  <c r="G12" i="10" s="1"/>
  <c r="I12" i="10" s="1"/>
  <c r="Q11" i="10"/>
  <c r="O11" i="10"/>
  <c r="M11" i="10"/>
  <c r="K11" i="10"/>
  <c r="G11" i="10"/>
  <c r="I11" i="10" s="1"/>
  <c r="F11" i="10"/>
  <c r="R11" i="10" s="1"/>
  <c r="Q10" i="10"/>
  <c r="O10" i="10"/>
  <c r="M10" i="10"/>
  <c r="K10" i="10"/>
  <c r="F10" i="10"/>
  <c r="G10" i="10" s="1"/>
  <c r="I10" i="10" s="1"/>
  <c r="Q8" i="10"/>
  <c r="O8" i="10"/>
  <c r="M8" i="10"/>
  <c r="K8" i="10"/>
  <c r="F8" i="10"/>
  <c r="P8" i="10" s="1"/>
  <c r="D7" i="10"/>
  <c r="O7" i="10" s="1"/>
  <c r="D6" i="10"/>
  <c r="O6" i="10" s="1"/>
  <c r="R5" i="10"/>
  <c r="Q5" i="10"/>
  <c r="O5" i="10"/>
  <c r="N5" i="10"/>
  <c r="M5" i="10"/>
  <c r="K5" i="10"/>
  <c r="F5" i="10"/>
  <c r="G5" i="10" s="1"/>
  <c r="S58" i="9"/>
  <c r="Q58" i="9"/>
  <c r="O58" i="9"/>
  <c r="K58" i="9"/>
  <c r="I58" i="9"/>
  <c r="G58" i="9"/>
  <c r="E58" i="9"/>
  <c r="M57" i="9"/>
  <c r="M56" i="9"/>
  <c r="M55" i="9"/>
  <c r="M54" i="9"/>
  <c r="M53" i="9"/>
  <c r="M58" i="9" s="1"/>
  <c r="V44" i="9"/>
  <c r="U44" i="9"/>
  <c r="T44" i="9"/>
  <c r="S44" i="9"/>
  <c r="R44" i="9"/>
  <c r="Q44" i="9"/>
  <c r="P44" i="9"/>
  <c r="O44" i="9"/>
  <c r="J44" i="9"/>
  <c r="I44" i="9"/>
  <c r="H44" i="9"/>
  <c r="G44" i="9"/>
  <c r="Z43" i="9"/>
  <c r="Y43" i="9"/>
  <c r="X43" i="9"/>
  <c r="W43" i="9"/>
  <c r="Z42" i="9"/>
  <c r="Y42" i="9"/>
  <c r="X42" i="9"/>
  <c r="W42" i="9"/>
  <c r="N41" i="9"/>
  <c r="Z41" i="9" s="1"/>
  <c r="M41" i="9"/>
  <c r="Y41" i="9" s="1"/>
  <c r="L41" i="9"/>
  <c r="X41" i="9" s="1"/>
  <c r="K41" i="9"/>
  <c r="W41" i="9" s="1"/>
  <c r="Z40" i="9"/>
  <c r="Y40" i="9"/>
  <c r="X40" i="9"/>
  <c r="W40" i="9"/>
  <c r="Z39" i="9"/>
  <c r="Y39" i="9"/>
  <c r="X39" i="9"/>
  <c r="W39" i="9"/>
  <c r="Z38" i="9"/>
  <c r="Y38" i="9"/>
  <c r="X38" i="9"/>
  <c r="W38" i="9"/>
  <c r="Z37" i="9"/>
  <c r="Y37" i="9"/>
  <c r="X37" i="9"/>
  <c r="W37" i="9"/>
  <c r="Z36" i="9"/>
  <c r="Y36" i="9"/>
  <c r="X36" i="9"/>
  <c r="W36" i="9"/>
  <c r="Z35" i="9"/>
  <c r="Y35" i="9"/>
  <c r="X35" i="9"/>
  <c r="W35" i="9"/>
  <c r="Z34" i="9"/>
  <c r="Y34" i="9"/>
  <c r="X34" i="9"/>
  <c r="W34" i="9"/>
  <c r="Z33" i="9"/>
  <c r="Y33" i="9"/>
  <c r="X33" i="9"/>
  <c r="W33" i="9"/>
  <c r="Z32" i="9"/>
  <c r="Y32" i="9"/>
  <c r="X32" i="9"/>
  <c r="W32" i="9"/>
  <c r="Z31" i="9"/>
  <c r="Y31" i="9"/>
  <c r="X31" i="9"/>
  <c r="W31" i="9"/>
  <c r="N30" i="9"/>
  <c r="N44" i="9" s="1"/>
  <c r="M30" i="9"/>
  <c r="M44" i="9" s="1"/>
  <c r="L30" i="9"/>
  <c r="L44" i="9" s="1"/>
  <c r="K30" i="9"/>
  <c r="K44" i="9" s="1"/>
  <c r="AD21" i="9"/>
  <c r="AB21" i="9"/>
  <c r="Z21" i="9"/>
  <c r="X21" i="9"/>
  <c r="V21" i="9"/>
  <c r="V20" i="9"/>
  <c r="V19" i="9"/>
  <c r="V18" i="9"/>
  <c r="AC10" i="9"/>
  <c r="Z10" i="9"/>
  <c r="W10" i="9"/>
  <c r="T10" i="9"/>
  <c r="Q10" i="9"/>
  <c r="M9" i="9"/>
  <c r="M8" i="9"/>
  <c r="M7" i="9"/>
  <c r="M10" i="9" s="1"/>
  <c r="M80" i="8"/>
  <c r="J78" i="8"/>
  <c r="G78" i="8"/>
  <c r="M78" i="8" s="1"/>
  <c r="M76" i="8"/>
  <c r="M75" i="8"/>
  <c r="M72" i="8" s="1"/>
  <c r="M84" i="8" s="1"/>
  <c r="M73" i="8"/>
  <c r="J72" i="8"/>
  <c r="J84" i="8" s="1"/>
  <c r="G72" i="8"/>
  <c r="G84" i="8" s="1"/>
  <c r="D72" i="8"/>
  <c r="D84" i="8" s="1"/>
  <c r="K64" i="8"/>
  <c r="K66" i="8" s="1"/>
  <c r="M57" i="8"/>
  <c r="J57" i="8"/>
  <c r="G57" i="8"/>
  <c r="F57" i="8"/>
  <c r="E57" i="8"/>
  <c r="D57" i="8"/>
  <c r="C56" i="8"/>
  <c r="J27" i="8"/>
  <c r="L27" i="8" s="1"/>
  <c r="L14" i="8"/>
  <c r="N13" i="8"/>
  <c r="L13" i="8"/>
  <c r="N12" i="8"/>
  <c r="L12" i="8"/>
  <c r="F15" i="7"/>
  <c r="I10" i="6"/>
  <c r="H10" i="6"/>
  <c r="G10" i="6"/>
  <c r="G6" i="6" s="1"/>
  <c r="F10" i="6"/>
  <c r="E6" i="6"/>
  <c r="D6" i="6"/>
  <c r="C6" i="6"/>
  <c r="I88" i="5"/>
  <c r="H88" i="5"/>
  <c r="G88" i="5"/>
  <c r="F88" i="5"/>
  <c r="E88" i="5"/>
  <c r="D88" i="5"/>
  <c r="C88" i="5"/>
  <c r="I79" i="5"/>
  <c r="H79" i="5"/>
  <c r="G79" i="5"/>
  <c r="F79" i="5"/>
  <c r="E79" i="5"/>
  <c r="D79" i="5"/>
  <c r="H78" i="5"/>
  <c r="G78" i="5"/>
  <c r="F78" i="5"/>
  <c r="I75" i="5"/>
  <c r="H75" i="5"/>
  <c r="G75" i="5"/>
  <c r="F75" i="5"/>
  <c r="E75" i="5"/>
  <c r="D75" i="5"/>
  <c r="C75" i="5"/>
  <c r="I69" i="5"/>
  <c r="H69" i="5"/>
  <c r="G69" i="5"/>
  <c r="F69" i="5"/>
  <c r="E69" i="5"/>
  <c r="E101" i="5" s="1"/>
  <c r="D69" i="5"/>
  <c r="D101" i="5" s="1"/>
  <c r="C69" i="5"/>
  <c r="C101" i="5" s="1"/>
  <c r="F66" i="5"/>
  <c r="G66" i="5" s="1"/>
  <c r="H66" i="5" s="1"/>
  <c r="I66" i="5" s="1"/>
  <c r="F62" i="5"/>
  <c r="F101" i="5" s="1"/>
  <c r="I56" i="5"/>
  <c r="H56" i="5"/>
  <c r="G56" i="5"/>
  <c r="F56" i="5"/>
  <c r="E56" i="5"/>
  <c r="I54" i="5"/>
  <c r="I9" i="6" s="1"/>
  <c r="I6" i="6" s="1"/>
  <c r="H54" i="5"/>
  <c r="H9" i="6" s="1"/>
  <c r="H6" i="6" s="1"/>
  <c r="G54" i="5"/>
  <c r="F54" i="5"/>
  <c r="F9" i="6" s="1"/>
  <c r="F6" i="6" s="1"/>
  <c r="E54" i="5"/>
  <c r="D54" i="5"/>
  <c r="C54" i="5"/>
  <c r="E52" i="5"/>
  <c r="I51" i="5"/>
  <c r="H51" i="5"/>
  <c r="G51" i="5"/>
  <c r="F51" i="5"/>
  <c r="E51" i="5"/>
  <c r="D51" i="5"/>
  <c r="C51" i="5"/>
  <c r="I48" i="5"/>
  <c r="H48" i="5"/>
  <c r="I44" i="5"/>
  <c r="H44" i="5"/>
  <c r="G44" i="5"/>
  <c r="F44" i="5"/>
  <c r="E44" i="5"/>
  <c r="D44" i="5"/>
  <c r="C44" i="5"/>
  <c r="I41" i="5"/>
  <c r="I57" i="5" s="1"/>
  <c r="H41" i="5"/>
  <c r="H57" i="5" s="1"/>
  <c r="G41" i="5"/>
  <c r="G57" i="5" s="1"/>
  <c r="F41" i="5"/>
  <c r="F57" i="5" s="1"/>
  <c r="E41" i="5"/>
  <c r="E57" i="5" s="1"/>
  <c r="D41" i="5"/>
  <c r="D57" i="5" s="1"/>
  <c r="C41" i="5"/>
  <c r="C57" i="5" s="1"/>
  <c r="I30" i="5"/>
  <c r="H30" i="5"/>
  <c r="G30" i="5"/>
  <c r="F30" i="5"/>
  <c r="I27" i="5"/>
  <c r="H27" i="5"/>
  <c r="G27" i="5"/>
  <c r="F27" i="5"/>
  <c r="I25" i="5"/>
  <c r="H25" i="5"/>
  <c r="G25" i="5"/>
  <c r="F25" i="5"/>
  <c r="E25" i="5"/>
  <c r="D25" i="5"/>
  <c r="C25" i="5"/>
  <c r="G19" i="5"/>
  <c r="I18" i="5"/>
  <c r="H18" i="5"/>
  <c r="G18" i="5"/>
  <c r="F18" i="5"/>
  <c r="E18" i="5"/>
  <c r="D18" i="5"/>
  <c r="C18" i="5"/>
  <c r="I12" i="5"/>
  <c r="H12" i="5"/>
  <c r="G12" i="5"/>
  <c r="F12" i="5"/>
  <c r="E12" i="5"/>
  <c r="D12" i="5"/>
  <c r="C12" i="5"/>
  <c r="E36" i="4"/>
  <c r="D36" i="4"/>
  <c r="C36" i="4"/>
  <c r="C32" i="4"/>
  <c r="E27" i="4"/>
  <c r="D27" i="4"/>
  <c r="C27" i="4"/>
  <c r="G25" i="4"/>
  <c r="I23" i="4"/>
  <c r="H23" i="4"/>
  <c r="G23" i="4"/>
  <c r="F23" i="4"/>
  <c r="E23" i="4"/>
  <c r="E21" i="4" s="1"/>
  <c r="E39" i="4" s="1"/>
  <c r="D23" i="4"/>
  <c r="I22" i="4"/>
  <c r="I21" i="4" s="1"/>
  <c r="H22" i="4"/>
  <c r="G22" i="4"/>
  <c r="G21" i="4" s="1"/>
  <c r="F22" i="4"/>
  <c r="C22" i="4"/>
  <c r="C21" i="4" s="1"/>
  <c r="C39" i="4" s="1"/>
  <c r="H21" i="4"/>
  <c r="F21" i="4"/>
  <c r="D21" i="4"/>
  <c r="D39" i="4" s="1"/>
  <c r="I16" i="4"/>
  <c r="H16" i="4"/>
  <c r="G16" i="4"/>
  <c r="F16" i="4"/>
  <c r="D16" i="4"/>
  <c r="C16" i="4"/>
  <c r="I8" i="4"/>
  <c r="H8" i="4"/>
  <c r="G8" i="4"/>
  <c r="F8" i="4"/>
  <c r="E8" i="4"/>
  <c r="D8" i="4"/>
  <c r="C8" i="4"/>
  <c r="I149" i="3"/>
  <c r="H149" i="3"/>
  <c r="H138" i="3" s="1"/>
  <c r="G149" i="3"/>
  <c r="G9" i="5" s="1"/>
  <c r="F149" i="3"/>
  <c r="F9" i="5" s="1"/>
  <c r="D149" i="3"/>
  <c r="D138" i="3" s="1"/>
  <c r="C149" i="3"/>
  <c r="C9" i="5" s="1"/>
  <c r="D148" i="3"/>
  <c r="C148" i="3"/>
  <c r="D147" i="3"/>
  <c r="C147" i="3"/>
  <c r="C146" i="3"/>
  <c r="I145" i="3"/>
  <c r="H145" i="3"/>
  <c r="G145" i="3"/>
  <c r="F145" i="3"/>
  <c r="E145" i="3"/>
  <c r="D145" i="3"/>
  <c r="C145" i="3"/>
  <c r="C144" i="3"/>
  <c r="I140" i="3"/>
  <c r="H140" i="3"/>
  <c r="G140" i="3"/>
  <c r="F140" i="3"/>
  <c r="E140" i="3"/>
  <c r="D140" i="3"/>
  <c r="C140" i="3"/>
  <c r="I139" i="3"/>
  <c r="H139" i="3"/>
  <c r="G139" i="3"/>
  <c r="F139" i="3"/>
  <c r="E139" i="3"/>
  <c r="D139" i="3"/>
  <c r="C139" i="3"/>
  <c r="I138" i="3"/>
  <c r="G138" i="3"/>
  <c r="F138" i="3"/>
  <c r="C138" i="3"/>
  <c r="E118" i="3"/>
  <c r="D118" i="3"/>
  <c r="C118" i="3"/>
  <c r="C116" i="3"/>
  <c r="I115" i="3"/>
  <c r="H115" i="3"/>
  <c r="G115" i="3"/>
  <c r="F115" i="3"/>
  <c r="E115" i="3"/>
  <c r="D115" i="3"/>
  <c r="C115" i="3"/>
  <c r="E105" i="3"/>
  <c r="I103" i="3"/>
  <c r="I133" i="3" s="1"/>
  <c r="H103" i="3"/>
  <c r="H133" i="3" s="1"/>
  <c r="G103" i="3"/>
  <c r="G133" i="3" s="1"/>
  <c r="F103" i="3"/>
  <c r="F133" i="3" s="1"/>
  <c r="E103" i="3"/>
  <c r="E133" i="3" s="1"/>
  <c r="D103" i="3"/>
  <c r="D133" i="3" s="1"/>
  <c r="C103" i="3"/>
  <c r="C133" i="3" s="1"/>
  <c r="I99" i="3"/>
  <c r="H99" i="3"/>
  <c r="G99" i="3"/>
  <c r="F99" i="3"/>
  <c r="E99" i="3"/>
  <c r="D99" i="3"/>
  <c r="C99" i="3"/>
  <c r="E95" i="3"/>
  <c r="E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88" i="3"/>
  <c r="I132" i="3" s="1"/>
  <c r="H88" i="3"/>
  <c r="H132" i="3" s="1"/>
  <c r="G88" i="3"/>
  <c r="G132" i="3" s="1"/>
  <c r="F88" i="3"/>
  <c r="F132" i="3" s="1"/>
  <c r="E88" i="3"/>
  <c r="E132" i="3" s="1"/>
  <c r="D88" i="3"/>
  <c r="D132" i="3" s="1"/>
  <c r="C88" i="3"/>
  <c r="C132" i="3" s="1"/>
  <c r="I78" i="3"/>
  <c r="H78" i="3"/>
  <c r="G78" i="3"/>
  <c r="F78" i="3"/>
  <c r="E78" i="3"/>
  <c r="D78" i="3"/>
  <c r="C78" i="3"/>
  <c r="I73" i="3"/>
  <c r="H73" i="3"/>
  <c r="G73" i="3"/>
  <c r="F73" i="3"/>
  <c r="E73" i="3"/>
  <c r="D73" i="3"/>
  <c r="C73" i="3"/>
  <c r="I65" i="3"/>
  <c r="H65" i="3"/>
  <c r="G65" i="3"/>
  <c r="F65" i="3"/>
  <c r="E65" i="3"/>
  <c r="D65" i="3"/>
  <c r="C65" i="3"/>
  <c r="C62" i="3"/>
  <c r="E61" i="3"/>
  <c r="E60" i="3"/>
  <c r="E57" i="3"/>
  <c r="E56" i="3"/>
  <c r="E50" i="3" s="1"/>
  <c r="F55" i="3"/>
  <c r="F51" i="3" s="1"/>
  <c r="F50" i="3" s="1"/>
  <c r="E52" i="3"/>
  <c r="C51" i="3"/>
  <c r="C50" i="3" s="1"/>
  <c r="C26" i="3" s="1"/>
  <c r="D50" i="3"/>
  <c r="E46" i="3"/>
  <c r="E45" i="3"/>
  <c r="E44" i="3"/>
  <c r="E26" i="3" s="1"/>
  <c r="E42" i="3"/>
  <c r="E41" i="3"/>
  <c r="E40" i="3" s="1"/>
  <c r="I40" i="3"/>
  <c r="H40" i="3"/>
  <c r="G40" i="3"/>
  <c r="F40" i="3"/>
  <c r="D40" i="3"/>
  <c r="E37" i="3"/>
  <c r="E36" i="3"/>
  <c r="E149" i="3" s="1"/>
  <c r="E35" i="3"/>
  <c r="E148" i="3" s="1"/>
  <c r="E34" i="3"/>
  <c r="E33" i="3"/>
  <c r="E32" i="3"/>
  <c r="D26" i="3"/>
  <c r="I24" i="3"/>
  <c r="H24" i="3"/>
  <c r="G24" i="3"/>
  <c r="F24" i="3"/>
  <c r="I21" i="3"/>
  <c r="I131" i="3" s="1"/>
  <c r="H21" i="3"/>
  <c r="H131" i="3" s="1"/>
  <c r="G21" i="3"/>
  <c r="G131" i="3" s="1"/>
  <c r="F21" i="3"/>
  <c r="F131" i="3" s="1"/>
  <c r="E21" i="3"/>
  <c r="E131" i="3" s="1"/>
  <c r="D21" i="3"/>
  <c r="D131" i="3" s="1"/>
  <c r="C21" i="3"/>
  <c r="C131" i="3" s="1"/>
  <c r="I18" i="3"/>
  <c r="I146" i="3" s="1"/>
  <c r="I144" i="3" s="1"/>
  <c r="H18" i="3"/>
  <c r="H146" i="3" s="1"/>
  <c r="G18" i="3"/>
  <c r="G146" i="3" s="1"/>
  <c r="G144" i="3" s="1"/>
  <c r="F18" i="3"/>
  <c r="F146" i="3" s="1"/>
  <c r="E18" i="3"/>
  <c r="D18" i="3"/>
  <c r="D146" i="3" s="1"/>
  <c r="E14" i="3"/>
  <c r="E147" i="3" s="1"/>
  <c r="D10" i="3"/>
  <c r="D135" i="3" s="1"/>
  <c r="D157" i="3" s="1"/>
  <c r="D150" i="3" s="1"/>
  <c r="C10" i="3"/>
  <c r="C135" i="3" s="1"/>
  <c r="C157" i="3" s="1"/>
  <c r="C150" i="3" s="1"/>
  <c r="I7" i="3"/>
  <c r="H7" i="3"/>
  <c r="G7" i="3"/>
  <c r="F7" i="3"/>
  <c r="F134" i="3" s="1"/>
  <c r="E7" i="3"/>
  <c r="E134" i="3" s="1"/>
  <c r="D7" i="3"/>
  <c r="C7" i="3"/>
  <c r="F81" i="2"/>
  <c r="D81" i="2"/>
  <c r="C81" i="2"/>
  <c r="F78" i="2"/>
  <c r="F84" i="2" s="1"/>
  <c r="F14" i="7" s="1"/>
  <c r="D78" i="2"/>
  <c r="C78" i="2"/>
  <c r="C84" i="2" s="1"/>
  <c r="F73" i="2"/>
  <c r="C73" i="2"/>
  <c r="B73" i="2"/>
  <c r="C72" i="2"/>
  <c r="B72" i="2"/>
  <c r="C71" i="2"/>
  <c r="B71" i="2"/>
  <c r="F69" i="2"/>
  <c r="E69" i="2"/>
  <c r="G69" i="2" s="1"/>
  <c r="H69" i="2" s="1"/>
  <c r="I69" i="2" s="1"/>
  <c r="J69" i="2" s="1"/>
  <c r="D69" i="2"/>
  <c r="C69" i="2"/>
  <c r="B69" i="2"/>
  <c r="B67" i="2"/>
  <c r="G66" i="2"/>
  <c r="H66" i="2" s="1"/>
  <c r="I66" i="2" s="1"/>
  <c r="J66" i="2" s="1"/>
  <c r="F66" i="2"/>
  <c r="E66" i="2"/>
  <c r="D66" i="2"/>
  <c r="C66" i="2"/>
  <c r="B66" i="2"/>
  <c r="F65" i="2"/>
  <c r="D65" i="2"/>
  <c r="C65" i="2"/>
  <c r="B65" i="2"/>
  <c r="F64" i="2"/>
  <c r="E64" i="2"/>
  <c r="G64" i="2" s="1"/>
  <c r="H64" i="2" s="1"/>
  <c r="I64" i="2" s="1"/>
  <c r="J64" i="2" s="1"/>
  <c r="D64" i="2"/>
  <c r="C64" i="2"/>
  <c r="B64" i="2"/>
  <c r="B63" i="2"/>
  <c r="F62" i="2"/>
  <c r="D62" i="2"/>
  <c r="C62" i="2"/>
  <c r="B62" i="2"/>
  <c r="F60" i="2"/>
  <c r="D60" i="2"/>
  <c r="C60" i="2"/>
  <c r="B60" i="2"/>
  <c r="F59" i="2"/>
  <c r="D59" i="2"/>
  <c r="C59" i="2"/>
  <c r="B59" i="2"/>
  <c r="F58" i="2"/>
  <c r="D58" i="2"/>
  <c r="C58" i="2"/>
  <c r="B58" i="2"/>
  <c r="F57" i="2"/>
  <c r="D57" i="2"/>
  <c r="C57" i="2"/>
  <c r="F56" i="2"/>
  <c r="E56" i="2"/>
  <c r="D56" i="2"/>
  <c r="C56" i="2"/>
  <c r="B56" i="2"/>
  <c r="F55" i="2"/>
  <c r="E55" i="2"/>
  <c r="D55" i="2"/>
  <c r="C55" i="2"/>
  <c r="B55" i="2"/>
  <c r="C53" i="2"/>
  <c r="B53" i="2"/>
  <c r="B52" i="2"/>
  <c r="F51" i="2"/>
  <c r="E51" i="2"/>
  <c r="C51" i="2"/>
  <c r="B51" i="2"/>
  <c r="B50" i="2"/>
  <c r="E49" i="2"/>
  <c r="G49" i="2" s="1"/>
  <c r="H49" i="2" s="1"/>
  <c r="I49" i="2" s="1"/>
  <c r="J49" i="2" s="1"/>
  <c r="D49" i="2"/>
  <c r="F49" i="2" s="1"/>
  <c r="C49" i="2"/>
  <c r="B49" i="2"/>
  <c r="F48" i="2"/>
  <c r="E48" i="2"/>
  <c r="G48" i="2" s="1"/>
  <c r="H48" i="2" s="1"/>
  <c r="I48" i="2" s="1"/>
  <c r="J48" i="2" s="1"/>
  <c r="D48" i="2"/>
  <c r="C48" i="2"/>
  <c r="B48" i="2"/>
  <c r="C47" i="2"/>
  <c r="B47" i="2"/>
  <c r="B46" i="2"/>
  <c r="B45" i="2"/>
  <c r="F44" i="2"/>
  <c r="E44" i="2"/>
  <c r="G44" i="2" s="1"/>
  <c r="H44" i="2" s="1"/>
  <c r="I44" i="2" s="1"/>
  <c r="J44" i="2" s="1"/>
  <c r="D44" i="2"/>
  <c r="C44" i="2"/>
  <c r="B44" i="2"/>
  <c r="G43" i="2"/>
  <c r="H43" i="2" s="1"/>
  <c r="I43" i="2" s="1"/>
  <c r="J43" i="2" s="1"/>
  <c r="F43" i="2"/>
  <c r="E43" i="2"/>
  <c r="D43" i="2"/>
  <c r="C43" i="2"/>
  <c r="B43" i="2"/>
  <c r="F42" i="2"/>
  <c r="D42" i="2"/>
  <c r="C42" i="2"/>
  <c r="B42" i="2"/>
  <c r="B41" i="2"/>
  <c r="D40" i="2"/>
  <c r="C40" i="2"/>
  <c r="B40" i="2"/>
  <c r="G39" i="2"/>
  <c r="F39" i="2"/>
  <c r="E39" i="2"/>
  <c r="D39" i="2"/>
  <c r="C39" i="2"/>
  <c r="B39" i="2"/>
  <c r="H39" i="2" l="1"/>
  <c r="C151" i="3"/>
  <c r="F144" i="3"/>
  <c r="D84" i="2"/>
  <c r="D73" i="2" s="1"/>
  <c r="E138" i="3"/>
  <c r="E9" i="5"/>
  <c r="G18" i="7"/>
  <c r="C20" i="3"/>
  <c r="C134" i="3"/>
  <c r="G134" i="3"/>
  <c r="E10" i="3"/>
  <c r="E146" i="3"/>
  <c r="E144" i="3" s="1"/>
  <c r="D144" i="3"/>
  <c r="D151" i="3" s="1"/>
  <c r="H144" i="3"/>
  <c r="F18" i="7"/>
  <c r="F17" i="7"/>
  <c r="E75" i="2"/>
  <c r="D20" i="3"/>
  <c r="E20" i="3"/>
  <c r="N44" i="10"/>
  <c r="D134" i="3"/>
  <c r="H134" i="3"/>
  <c r="D9" i="5"/>
  <c r="H9" i="5"/>
  <c r="I134" i="3"/>
  <c r="G19" i="7"/>
  <c r="I9" i="5"/>
  <c r="I5" i="10"/>
  <c r="K69" i="10"/>
  <c r="J31" i="8" s="1"/>
  <c r="N27" i="8"/>
  <c r="X30" i="9"/>
  <c r="X44" i="9" s="1"/>
  <c r="L5" i="10"/>
  <c r="P5" i="10"/>
  <c r="F6" i="10"/>
  <c r="F7" i="10"/>
  <c r="G8" i="10"/>
  <c r="I8" i="10" s="1"/>
  <c r="N10" i="10"/>
  <c r="R10" i="10"/>
  <c r="L12" i="10"/>
  <c r="P12" i="10"/>
  <c r="G14" i="10"/>
  <c r="I14" i="10" s="1"/>
  <c r="N15" i="10"/>
  <c r="R15" i="10"/>
  <c r="L18" i="10"/>
  <c r="P18" i="10"/>
  <c r="G19" i="10"/>
  <c r="I19" i="10" s="1"/>
  <c r="N20" i="10"/>
  <c r="R20" i="10"/>
  <c r="L23" i="10"/>
  <c r="P23" i="10"/>
  <c r="G24" i="10"/>
  <c r="I24" i="10" s="1"/>
  <c r="N25" i="10"/>
  <c r="R25" i="10"/>
  <c r="L27" i="10"/>
  <c r="P27" i="10"/>
  <c r="G28" i="10"/>
  <c r="I28" i="10" s="1"/>
  <c r="N29" i="10"/>
  <c r="R29" i="10"/>
  <c r="K54" i="10"/>
  <c r="K66" i="10"/>
  <c r="J29" i="8" s="1"/>
  <c r="L29" i="8" s="1"/>
  <c r="G62" i="5"/>
  <c r="Y30" i="9"/>
  <c r="Y44" i="9" s="1"/>
  <c r="G6" i="10"/>
  <c r="I6" i="10" s="1"/>
  <c r="M6" i="10"/>
  <c r="Q6" i="10"/>
  <c r="G7" i="10"/>
  <c r="I7" i="10" s="1"/>
  <c r="M7" i="10"/>
  <c r="Q7" i="10"/>
  <c r="N8" i="10"/>
  <c r="R8" i="10"/>
  <c r="L11" i="10"/>
  <c r="P11" i="10"/>
  <c r="N14" i="10"/>
  <c r="R14" i="10"/>
  <c r="L16" i="10"/>
  <c r="P16" i="10"/>
  <c r="N19" i="10"/>
  <c r="Q36" i="10" s="1"/>
  <c r="R19" i="10"/>
  <c r="S36" i="10" s="1"/>
  <c r="L22" i="10"/>
  <c r="K41" i="10" s="1"/>
  <c r="P22" i="10"/>
  <c r="M41" i="10" s="1"/>
  <c r="N24" i="10"/>
  <c r="R24" i="10"/>
  <c r="N41" i="10" s="1"/>
  <c r="L26" i="10"/>
  <c r="K44" i="10" s="1"/>
  <c r="P26" i="10"/>
  <c r="M44" i="10" s="1"/>
  <c r="N28" i="10"/>
  <c r="R28" i="10"/>
  <c r="L35" i="10"/>
  <c r="Z30" i="9"/>
  <c r="Z44" i="9" s="1"/>
  <c r="L10" i="10"/>
  <c r="P10" i="10"/>
  <c r="L15" i="10"/>
  <c r="P15" i="10"/>
  <c r="L20" i="10"/>
  <c r="P20" i="10"/>
  <c r="R36" i="10" s="1"/>
  <c r="L25" i="10"/>
  <c r="P25" i="10"/>
  <c r="L29" i="10"/>
  <c r="P29" i="10"/>
  <c r="M35" i="10"/>
  <c r="W30" i="9"/>
  <c r="W44" i="9" s="1"/>
  <c r="K6" i="10"/>
  <c r="K7" i="10"/>
  <c r="L8" i="10"/>
  <c r="N11" i="10"/>
  <c r="L14" i="10"/>
  <c r="N16" i="10"/>
  <c r="L19" i="10"/>
  <c r="K71" i="10" s="1"/>
  <c r="J33" i="8" s="1"/>
  <c r="L33" i="8" s="1"/>
  <c r="N22" i="10"/>
  <c r="L41" i="10" s="1"/>
  <c r="L24" i="10"/>
  <c r="N26" i="10"/>
  <c r="L44" i="10" s="1"/>
  <c r="L28" i="10"/>
  <c r="N35" i="10"/>
  <c r="K65" i="10"/>
  <c r="J28" i="8" s="1"/>
  <c r="M42" i="10" l="1"/>
  <c r="M109" i="3"/>
  <c r="M45" i="10"/>
  <c r="E12" i="1"/>
  <c r="K45" i="10"/>
  <c r="C12" i="1"/>
  <c r="K42" i="10"/>
  <c r="K109" i="3"/>
  <c r="L42" i="10"/>
  <c r="L109" i="3" s="1"/>
  <c r="L45" i="10"/>
  <c r="D12" i="1"/>
  <c r="N42" i="10"/>
  <c r="N109" i="3" s="1"/>
  <c r="N36" i="10"/>
  <c r="K56" i="10"/>
  <c r="J21" i="8" s="1"/>
  <c r="L21" i="8" s="1"/>
  <c r="N14" i="3"/>
  <c r="R6" i="10"/>
  <c r="N6" i="10"/>
  <c r="M30" i="10" s="1"/>
  <c r="L38" i="10" s="1"/>
  <c r="P6" i="10"/>
  <c r="O30" i="10" s="1"/>
  <c r="M38" i="10" s="1"/>
  <c r="L6" i="10"/>
  <c r="K30" i="10" s="1"/>
  <c r="K38" i="10" s="1"/>
  <c r="D86" i="3"/>
  <c r="D41" i="2"/>
  <c r="M36" i="10"/>
  <c r="M14" i="3"/>
  <c r="L36" i="10"/>
  <c r="L14" i="3"/>
  <c r="K59" i="10"/>
  <c r="J23" i="8" s="1"/>
  <c r="J19" i="8"/>
  <c r="L31" i="8"/>
  <c r="N31" i="8"/>
  <c r="N45" i="10"/>
  <c r="F12" i="1"/>
  <c r="E86" i="3"/>
  <c r="F41" i="2"/>
  <c r="F7" i="7" s="1"/>
  <c r="P36" i="10"/>
  <c r="I30" i="10"/>
  <c r="E135" i="3"/>
  <c r="E157" i="3" s="1"/>
  <c r="E150" i="3" s="1"/>
  <c r="E151" i="3" s="1"/>
  <c r="F40" i="2"/>
  <c r="I39" i="2"/>
  <c r="N28" i="8"/>
  <c r="L28" i="8"/>
  <c r="G101" i="5"/>
  <c r="H62" i="5"/>
  <c r="G55" i="3"/>
  <c r="G51" i="3" s="1"/>
  <c r="G50" i="3" s="1"/>
  <c r="K35" i="10"/>
  <c r="R7" i="10"/>
  <c r="Q30" i="10" s="1"/>
  <c r="N38" i="10" s="1"/>
  <c r="N7" i="10"/>
  <c r="P7" i="10"/>
  <c r="L7" i="10"/>
  <c r="G30" i="10"/>
  <c r="C86" i="3"/>
  <c r="C41" i="2"/>
  <c r="S39" i="10" l="1"/>
  <c r="N39" i="10"/>
  <c r="N35" i="3" s="1"/>
  <c r="I35" i="3" s="1"/>
  <c r="K55" i="10"/>
  <c r="J20" i="8" s="1"/>
  <c r="N34" i="3"/>
  <c r="I34" i="3" s="1"/>
  <c r="N47" i="10"/>
  <c r="Q39" i="10"/>
  <c r="L39" i="10"/>
  <c r="L35" i="3" s="1"/>
  <c r="G35" i="3" s="1"/>
  <c r="L34" i="3"/>
  <c r="G34" i="3" s="1"/>
  <c r="L47" i="10"/>
  <c r="P39" i="10"/>
  <c r="K39" i="10"/>
  <c r="K35" i="3" s="1"/>
  <c r="F35" i="3" s="1"/>
  <c r="K34" i="3"/>
  <c r="F34" i="3" s="1"/>
  <c r="F26" i="3" s="1"/>
  <c r="R39" i="10"/>
  <c r="M39" i="10"/>
  <c r="M35" i="3" s="1"/>
  <c r="H35" i="3" s="1"/>
  <c r="M34" i="3"/>
  <c r="H34" i="3" s="1"/>
  <c r="M47" i="10"/>
  <c r="L19" i="8"/>
  <c r="N19" i="8"/>
  <c r="K47" i="10"/>
  <c r="K36" i="10"/>
  <c r="K14" i="3"/>
  <c r="K70" i="10"/>
  <c r="J32" i="8" s="1"/>
  <c r="L23" i="8"/>
  <c r="N23" i="8"/>
  <c r="H14" i="3"/>
  <c r="M150" i="3"/>
  <c r="D137" i="3"/>
  <c r="D142" i="3" s="1"/>
  <c r="D46" i="2" s="1"/>
  <c r="D47" i="2" s="1"/>
  <c r="D123" i="3"/>
  <c r="D45" i="2"/>
  <c r="F45" i="2" s="1"/>
  <c r="N48" i="10"/>
  <c r="N15" i="3"/>
  <c r="G26" i="3"/>
  <c r="L150" i="3"/>
  <c r="G14" i="3"/>
  <c r="M48" i="10"/>
  <c r="M15" i="3"/>
  <c r="I14" i="3"/>
  <c r="N150" i="3"/>
  <c r="C123" i="3"/>
  <c r="C137" i="3"/>
  <c r="C142" i="3" s="1"/>
  <c r="C46" i="2" s="1"/>
  <c r="C45" i="2"/>
  <c r="H101" i="5"/>
  <c r="I62" i="5"/>
  <c r="H55" i="3"/>
  <c r="H51" i="3" s="1"/>
  <c r="H50" i="3" s="1"/>
  <c r="H26" i="3" s="1"/>
  <c r="E123" i="3"/>
  <c r="E137" i="3"/>
  <c r="E142" i="3" s="1"/>
  <c r="F46" i="2" s="1"/>
  <c r="L48" i="10"/>
  <c r="L15" i="3"/>
  <c r="K61" i="10"/>
  <c r="J25" i="8" s="1"/>
  <c r="L25" i="8" s="1"/>
  <c r="J39" i="2"/>
  <c r="I101" i="5" l="1"/>
  <c r="E65" i="2" s="1"/>
  <c r="G65" i="2" s="1"/>
  <c r="H65" i="2" s="1"/>
  <c r="I65" i="2" s="1"/>
  <c r="J65" i="2" s="1"/>
  <c r="I55" i="3"/>
  <c r="I51" i="3" s="1"/>
  <c r="I50" i="3" s="1"/>
  <c r="I26" i="3" s="1"/>
  <c r="E42" i="2" s="1"/>
  <c r="G42" i="2" s="1"/>
  <c r="H42" i="2" s="1"/>
  <c r="I42" i="2" s="1"/>
  <c r="J42" i="2" s="1"/>
  <c r="E83" i="2"/>
  <c r="E79" i="2" s="1"/>
  <c r="C126" i="3"/>
  <c r="C7" i="5"/>
  <c r="C17" i="5" s="1"/>
  <c r="C29" i="5" s="1"/>
  <c r="C31" i="5" s="1"/>
  <c r="C50" i="2"/>
  <c r="I15" i="3"/>
  <c r="I148" i="3" s="1"/>
  <c r="N151" i="3"/>
  <c r="K60" i="10"/>
  <c r="J24" i="8" s="1"/>
  <c r="G147" i="3"/>
  <c r="N32" i="8"/>
  <c r="L32" i="8"/>
  <c r="N20" i="8"/>
  <c r="L20" i="8"/>
  <c r="L151" i="3"/>
  <c r="G15" i="3"/>
  <c r="G148" i="3" s="1"/>
  <c r="F13" i="7"/>
  <c r="F8" i="7"/>
  <c r="F47" i="2"/>
  <c r="E7" i="5"/>
  <c r="E17" i="5" s="1"/>
  <c r="E29" i="5" s="1"/>
  <c r="E31" i="5" s="1"/>
  <c r="E126" i="3"/>
  <c r="F50" i="2"/>
  <c r="I10" i="3"/>
  <c r="I147" i="3"/>
  <c r="H147" i="3"/>
  <c r="K150" i="3"/>
  <c r="F14" i="3"/>
  <c r="M151" i="3"/>
  <c r="H15" i="3"/>
  <c r="H148" i="3" s="1"/>
  <c r="D126" i="3"/>
  <c r="D7" i="5"/>
  <c r="D17" i="5" s="1"/>
  <c r="D29" i="5" s="1"/>
  <c r="D31" i="5" s="1"/>
  <c r="D50" i="2"/>
  <c r="K48" i="10"/>
  <c r="K15" i="3"/>
  <c r="E19" i="4" l="1"/>
  <c r="E127" i="3"/>
  <c r="E128" i="3"/>
  <c r="F52" i="2"/>
  <c r="D11" i="1"/>
  <c r="E105" i="5"/>
  <c r="E106" i="5"/>
  <c r="F63" i="2"/>
  <c r="N24" i="8"/>
  <c r="L24" i="8"/>
  <c r="H10" i="3"/>
  <c r="G10" i="3"/>
  <c r="E81" i="2"/>
  <c r="E11" i="1"/>
  <c r="F10" i="3"/>
  <c r="F147" i="3"/>
  <c r="C105" i="5"/>
  <c r="C106" i="5"/>
  <c r="C63" i="2"/>
  <c r="D105" i="5"/>
  <c r="D67" i="2" s="1"/>
  <c r="D106" i="5"/>
  <c r="D63" i="2"/>
  <c r="F11" i="1"/>
  <c r="K151" i="3"/>
  <c r="F15" i="3"/>
  <c r="F148" i="3" s="1"/>
  <c r="D19" i="4"/>
  <c r="D127" i="3"/>
  <c r="D128" i="3"/>
  <c r="D52" i="2"/>
  <c r="I135" i="3"/>
  <c r="I157" i="3" s="1"/>
  <c r="I150" i="3" s="1"/>
  <c r="I160" i="3" s="1"/>
  <c r="I26" i="4" s="1"/>
  <c r="E40" i="2"/>
  <c r="G40" i="2" s="1"/>
  <c r="I20" i="3"/>
  <c r="C19" i="4"/>
  <c r="C127" i="3"/>
  <c r="C128" i="3"/>
  <c r="C52" i="2"/>
  <c r="H40" i="2" l="1"/>
  <c r="G41" i="2"/>
  <c r="G45" i="2" s="1"/>
  <c r="G50" i="2" s="1"/>
  <c r="I86" i="3"/>
  <c r="E41" i="2"/>
  <c r="G7" i="7" s="1"/>
  <c r="C67" i="2"/>
  <c r="C77" i="2"/>
  <c r="E19" i="1"/>
  <c r="H37" i="4" s="1"/>
  <c r="H36" i="4" s="1"/>
  <c r="E18" i="1"/>
  <c r="H31" i="4" s="1"/>
  <c r="H27" i="4" s="1"/>
  <c r="E17" i="1"/>
  <c r="H135" i="3"/>
  <c r="H157" i="3" s="1"/>
  <c r="H150" i="3" s="1"/>
  <c r="H20" i="3"/>
  <c r="H86" i="3" s="1"/>
  <c r="F10" i="7"/>
  <c r="F72" i="2" s="1"/>
  <c r="F11" i="7"/>
  <c r="F53" i="2" s="1"/>
  <c r="F9" i="7"/>
  <c r="F71" i="2" s="1"/>
  <c r="I151" i="3"/>
  <c r="C11" i="1"/>
  <c r="F103" i="5"/>
  <c r="F77" i="2"/>
  <c r="F67" i="2"/>
  <c r="E57" i="2"/>
  <c r="G57" i="2" s="1"/>
  <c r="H57" i="2" s="1"/>
  <c r="I57" i="2" s="1"/>
  <c r="J57" i="2" s="1"/>
  <c r="F19" i="1"/>
  <c r="I37" i="4" s="1"/>
  <c r="I36" i="4" s="1"/>
  <c r="F18" i="1"/>
  <c r="I31" i="4" s="1"/>
  <c r="F17" i="1"/>
  <c r="F135" i="3"/>
  <c r="F157" i="3" s="1"/>
  <c r="F150" i="3" s="1"/>
  <c r="F160" i="3" s="1"/>
  <c r="F26" i="4" s="1"/>
  <c r="F20" i="3"/>
  <c r="F86" i="3" s="1"/>
  <c r="D72" i="2"/>
  <c r="D71" i="2"/>
  <c r="D53" i="2"/>
  <c r="G135" i="3"/>
  <c r="G157" i="3" s="1"/>
  <c r="G150" i="3" s="1"/>
  <c r="G20" i="3"/>
  <c r="G86" i="3" s="1"/>
  <c r="D19" i="1"/>
  <c r="G37" i="4" s="1"/>
  <c r="G36" i="4" s="1"/>
  <c r="D18" i="1"/>
  <c r="G31" i="4" s="1"/>
  <c r="G27" i="4" s="1"/>
  <c r="D17" i="1"/>
  <c r="I7" i="4"/>
  <c r="H7" i="4"/>
  <c r="G7" i="4"/>
  <c r="F7" i="4"/>
  <c r="G38" i="4" l="1"/>
  <c r="L148" i="3"/>
  <c r="L149" i="3" s="1"/>
  <c r="G123" i="3"/>
  <c r="G137" i="3"/>
  <c r="G142" i="3" s="1"/>
  <c r="I27" i="4"/>
  <c r="C19" i="1"/>
  <c r="F37" i="4" s="1"/>
  <c r="F36" i="4" s="1"/>
  <c r="C18" i="1"/>
  <c r="F31" i="4" s="1"/>
  <c r="F27" i="4" s="1"/>
  <c r="C17" i="1"/>
  <c r="G160" i="3"/>
  <c r="G26" i="4" s="1"/>
  <c r="G39" i="4" s="1"/>
  <c r="G151" i="3"/>
  <c r="F123" i="3"/>
  <c r="F137" i="3"/>
  <c r="F142" i="3" s="1"/>
  <c r="H137" i="3"/>
  <c r="H142" i="3" s="1"/>
  <c r="H123" i="3"/>
  <c r="I123" i="3"/>
  <c r="I137" i="3"/>
  <c r="I142" i="3" s="1"/>
  <c r="E46" i="2" s="1"/>
  <c r="E45" i="2"/>
  <c r="H103" i="5"/>
  <c r="G103" i="5"/>
  <c r="I103" i="5"/>
  <c r="H160" i="3"/>
  <c r="H26" i="4" s="1"/>
  <c r="H151" i="3"/>
  <c r="G51" i="2"/>
  <c r="G56" i="2" s="1"/>
  <c r="N148" i="3"/>
  <c r="N149" i="3" s="1"/>
  <c r="I38" i="4"/>
  <c r="E59" i="2" s="1"/>
  <c r="G59" i="2" s="1"/>
  <c r="H59" i="2" s="1"/>
  <c r="I59" i="2" s="1"/>
  <c r="J59" i="2" s="1"/>
  <c r="F151" i="3"/>
  <c r="M148" i="3"/>
  <c r="M149" i="3" s="1"/>
  <c r="H38" i="4"/>
  <c r="I40" i="2"/>
  <c r="H41" i="2"/>
  <c r="H45" i="2" s="1"/>
  <c r="H50" i="2" s="1"/>
  <c r="J40" i="2" l="1"/>
  <c r="J41" i="2" s="1"/>
  <c r="J45" i="2" s="1"/>
  <c r="J50" i="2" s="1"/>
  <c r="I41" i="2"/>
  <c r="I45" i="2" s="1"/>
  <c r="I50" i="2" s="1"/>
  <c r="G8" i="7"/>
  <c r="E47" i="2" s="1"/>
  <c r="G46" i="2"/>
  <c r="G13" i="7"/>
  <c r="F38" i="4"/>
  <c r="F39" i="4" s="1"/>
  <c r="K148" i="3"/>
  <c r="K149" i="3" s="1"/>
  <c r="H39" i="4"/>
  <c r="I7" i="5"/>
  <c r="I17" i="5" s="1"/>
  <c r="I29" i="5" s="1"/>
  <c r="I31" i="5" s="1"/>
  <c r="I126" i="3"/>
  <c r="E50" i="2"/>
  <c r="F126" i="3"/>
  <c r="F7" i="5"/>
  <c r="F17" i="5" s="1"/>
  <c r="F29" i="5" s="1"/>
  <c r="F31" i="5" s="1"/>
  <c r="G126" i="3"/>
  <c r="G7" i="5"/>
  <c r="G17" i="5" s="1"/>
  <c r="G29" i="5" s="1"/>
  <c r="G31" i="5" s="1"/>
  <c r="G106" i="5" s="1"/>
  <c r="E62" i="2"/>
  <c r="H126" i="3"/>
  <c r="H7" i="5"/>
  <c r="H17" i="5" s="1"/>
  <c r="H29" i="5" s="1"/>
  <c r="H31" i="5" s="1"/>
  <c r="H106" i="5" s="1"/>
  <c r="H51" i="2"/>
  <c r="H56" i="2" s="1"/>
  <c r="H52" i="2"/>
  <c r="G52" i="2"/>
  <c r="E58" i="2"/>
  <c r="G58" i="2" s="1"/>
  <c r="H58" i="2" s="1"/>
  <c r="I58" i="2" s="1"/>
  <c r="J58" i="2" s="1"/>
  <c r="I39" i="4"/>
  <c r="E60" i="2" s="1"/>
  <c r="G55" i="2" l="1"/>
  <c r="G60" i="2" s="1"/>
  <c r="G53" i="2"/>
  <c r="H19" i="4"/>
  <c r="H127" i="3"/>
  <c r="H128" i="3"/>
  <c r="G19" i="4"/>
  <c r="G127" i="3"/>
  <c r="G128" i="3"/>
  <c r="I19" i="4"/>
  <c r="I127" i="3"/>
  <c r="I128" i="3"/>
  <c r="E52" i="2"/>
  <c r="I106" i="5"/>
  <c r="E63" i="2"/>
  <c r="G63" i="2" s="1"/>
  <c r="H63" i="2" s="1"/>
  <c r="I63" i="2" s="1"/>
  <c r="J63" i="2" s="1"/>
  <c r="G105" i="5"/>
  <c r="H55" i="2"/>
  <c r="H60" i="2" s="1"/>
  <c r="H53" i="2"/>
  <c r="F106" i="5"/>
  <c r="F105" i="5"/>
  <c r="I105" i="5"/>
  <c r="F128" i="3"/>
  <c r="F19" i="4"/>
  <c r="F127" i="3"/>
  <c r="H105" i="5"/>
  <c r="I52" i="2"/>
  <c r="I51" i="2"/>
  <c r="I56" i="2" s="1"/>
  <c r="G47" i="2"/>
  <c r="H46" i="2"/>
  <c r="J52" i="2"/>
  <c r="J51" i="2"/>
  <c r="J56" i="2" s="1"/>
  <c r="J53" i="2" l="1"/>
  <c r="J55" i="2"/>
  <c r="J60" i="2" s="1"/>
  <c r="H47" i="2"/>
  <c r="I46" i="2"/>
  <c r="E77" i="2"/>
  <c r="E76" i="2" s="1"/>
  <c r="E67" i="2"/>
  <c r="G62" i="2" s="1"/>
  <c r="G67" i="2" s="1"/>
  <c r="H62" i="2" s="1"/>
  <c r="H67" i="2" s="1"/>
  <c r="I62" i="2" s="1"/>
  <c r="I67" i="2" s="1"/>
  <c r="J62" i="2" s="1"/>
  <c r="J67" i="2" s="1"/>
  <c r="G11" i="7"/>
  <c r="E53" i="2" s="1"/>
  <c r="E84" i="2"/>
  <c r="G14" i="7" s="1"/>
  <c r="E73" i="2" s="1"/>
  <c r="I55" i="2"/>
  <c r="I60" i="2" s="1"/>
  <c r="I53" i="2"/>
  <c r="G10" i="7" l="1"/>
  <c r="E72" i="2" s="1"/>
  <c r="G15" i="7"/>
  <c r="E78" i="2"/>
  <c r="G9" i="7" s="1"/>
  <c r="E71" i="2" s="1"/>
  <c r="I47" i="2"/>
  <c r="J46" i="2"/>
  <c r="J47" i="2" s="1"/>
</calcChain>
</file>

<file path=xl/sharedStrings.xml><?xml version="1.0" encoding="utf-8"?>
<sst xmlns="http://schemas.openxmlformats.org/spreadsheetml/2006/main" count="972" uniqueCount="685">
  <si>
    <t>Відрахування</t>
  </si>
  <si>
    <t>Утримання</t>
  </si>
  <si>
    <t>ПДФО</t>
  </si>
  <si>
    <t>Військовий збір</t>
  </si>
  <si>
    <t>Ставка ЄСВ</t>
  </si>
  <si>
    <t>Ставка ЄСВ для інвалідів</t>
  </si>
  <si>
    <t>І квартал</t>
  </si>
  <si>
    <t>півріччя</t>
  </si>
  <si>
    <t>9 місяців</t>
  </si>
  <si>
    <t>рік</t>
  </si>
  <si>
    <t>ФОП (загальний)</t>
  </si>
  <si>
    <t>ФОП інвалідів</t>
  </si>
  <si>
    <t>Відрахування на соціальні заходи</t>
  </si>
  <si>
    <t>Податок на доходи фізичних осіб</t>
  </si>
  <si>
    <t>Додаток 1</t>
  </si>
  <si>
    <t>РОЗГЛЯНУТО __________________________________________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</si>
  <si>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Дніпра</t>
  </si>
  <si>
    <t>Директор департаменту інноваційного розвитку Дніпровської міської ради</t>
  </si>
  <si>
    <t>Ю.О.Павлюк</t>
  </si>
  <si>
    <t>ЗАТВЕРДЖЕНО ______________________________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</si>
  <si>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</si>
  <si>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t>_______________________________________</t>
  </si>
  <si>
    <r>
      <rPr>
        <sz val="16"/>
        <rFont val="Times New Roman"/>
        <charset val="134"/>
      </rPr>
      <t xml:space="preserve">М. П. </t>
    </r>
    <r>
      <rPr>
        <sz val="11"/>
        <rFont val="Times New Roman"/>
        <charset val="134"/>
      </rPr>
      <t>(печатка відсутня)</t>
    </r>
  </si>
  <si>
    <t xml:space="preserve">(дата та номер рішення виконавчого </t>
  </si>
  <si>
    <t>комітету міської ради)</t>
  </si>
  <si>
    <t xml:space="preserve">Заступник міського голови, директор департаменту благоустрою та інфраструктури міської ради </t>
  </si>
  <si>
    <r>
      <rPr>
        <sz val="16"/>
        <rFont val="Times New Roman"/>
        <charset val="134"/>
      </rPr>
      <t xml:space="preserve"> __________________________М. О. Лисенко </t>
    </r>
    <r>
      <rPr>
        <sz val="11"/>
        <rFont val="Times New Roman"/>
        <charset val="134"/>
      </rPr>
      <t>(прізвище та ініціали та підпис заступника міського голови за напрямом діяльності  підприємства)</t>
    </r>
  </si>
  <si>
    <t>М. П.</t>
  </si>
  <si>
    <t>Рік 2023</t>
  </si>
  <si>
    <t>Коди</t>
  </si>
  <si>
    <t xml:space="preserve">Підприємство  </t>
  </si>
  <si>
    <t>КОМУНАЛЬНЕ ПІДПРИЄМСТВО "ДНІПРОВСЬКА МУНІЦИПАЛЬНА ЕНЕРГОСЕРВІСНА КОМПАНІЯ" ДНІПРОВСЬКОЇ МІСЬКОЇ РАДИ</t>
  </si>
  <si>
    <t xml:space="preserve">за ЄДРПОУ </t>
  </si>
  <si>
    <t xml:space="preserve">Організаційно-правова форма </t>
  </si>
  <si>
    <t xml:space="preserve">Комунальне підприємство </t>
  </si>
  <si>
    <t>за КОПФГ</t>
  </si>
  <si>
    <t>Територія</t>
  </si>
  <si>
    <t>м. Дніпро</t>
  </si>
  <si>
    <t>за КОАТУУ</t>
  </si>
  <si>
    <t xml:space="preserve">Орган державного управління   </t>
  </si>
  <si>
    <t>за СПОДУ</t>
  </si>
  <si>
    <t xml:space="preserve">Галузь     </t>
  </si>
  <si>
    <t>за ЗКГНГ</t>
  </si>
  <si>
    <t xml:space="preserve">Вид економічної діяльності    </t>
  </si>
  <si>
    <t>Діяльність у сфері інжинірингу, геології та геодезії, надання послуг технічного консультування в цих сферах</t>
  </si>
  <si>
    <t xml:space="preserve">за  КВЕД  </t>
  </si>
  <si>
    <t>71.12</t>
  </si>
  <si>
    <t>Одиниця виміру, тис. гривень без десяткових знаків</t>
  </si>
  <si>
    <t>Стандарти звітності П(с)БОУ</t>
  </si>
  <si>
    <t>х</t>
  </si>
  <si>
    <t>Форма власності</t>
  </si>
  <si>
    <t>комунальна власність</t>
  </si>
  <si>
    <t>Стандарти звітності МСФЗ</t>
  </si>
  <si>
    <t>Середньооблікова кількість штатних працівників   40</t>
  </si>
  <si>
    <t xml:space="preserve">Місцезнаходження  </t>
  </si>
  <si>
    <t>49000, м. Дніпро, просп. Дмитра Яворницького, б. 75</t>
  </si>
  <si>
    <t xml:space="preserve">Телефон </t>
  </si>
  <si>
    <t>(067) 426-76-07</t>
  </si>
  <si>
    <t xml:space="preserve">Прізвище та ініціали керівника  </t>
  </si>
  <si>
    <t>Головаха Т.А.</t>
  </si>
  <si>
    <t>ФІНАНСОВИЙ ПЛАН ПІДПРИЄМСТВА НА 2023 рік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</si>
  <si>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</si>
  <si>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</si>
  <si>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</si>
  <si>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</si>
  <si>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</t>
  </si>
  <si>
    <t>Прогноз на поточний рік</t>
  </si>
  <si>
    <t>Інформація згідно із стратегічним планом розвитку</t>
  </si>
  <si>
    <t>плановий рік +1 рік</t>
  </si>
  <si>
    <t>плановий рік +2 роки</t>
  </si>
  <si>
    <t>плановий рік +3 роки</t>
  </si>
  <si>
    <t>плановий рік
+4 роки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</si>
  <si>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</si>
  <si>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</si>
  <si>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</si>
  <si>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</si>
  <si>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</si>
  <si>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Витрати на збут</t>
  </si>
  <si>
    <t>Інші операційні доходи/витрати</t>
  </si>
  <si>
    <t>Фінансовий результат від операційної діяльності</t>
  </si>
  <si>
    <t>EBITDA</t>
  </si>
  <si>
    <t>Рентабельність EBITDA</t>
  </si>
  <si>
    <t>Доходи/витрати від фінансової та інвестиційної діяльності</t>
  </si>
  <si>
    <t>Інші доходи/витрати</t>
  </si>
  <si>
    <t>Фінансовий результат до оподаткування</t>
  </si>
  <si>
    <t>Витрати (дохід) з податку на прибуток</t>
  </si>
  <si>
    <t xml:space="preserve"> </t>
  </si>
  <si>
    <t>Чистий  фінансовий результат</t>
  </si>
  <si>
    <t>Коефіцієнт рентабельності діяльності</t>
  </si>
  <si>
    <t>IІ. Розрахунки з бюджетом</t>
  </si>
  <si>
    <t>Відрахування частини чистого прибутку</t>
  </si>
  <si>
    <t>Податок на прибуток підприємств</t>
  </si>
  <si>
    <t>Податок на додану вартість нарахований/до відшкодування
(з мінусом)</t>
  </si>
  <si>
    <t>2120 / 2130</t>
  </si>
  <si>
    <t>Сплата інших податків, зборів, обов'язкових платежів до державного та місцевих бюджетів</t>
  </si>
  <si>
    <t xml:space="preserve">Єдиний внесок на загальнообов'язкове державне соціальне страхування                              </t>
  </si>
  <si>
    <t>Усього виплат</t>
  </si>
  <si>
    <t>ІІІ. Рух грошових коштів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</si>
  <si>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</si>
  <si>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</si>
  <si>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інвестиційної діяльності</t>
  </si>
  <si>
    <t>Чистий рух грошових коштів від фінансової діяльності</t>
  </si>
  <si>
    <t xml:space="preserve">Вплив зміни валютних курсів на залишок коштів </t>
  </si>
  <si>
    <t>Грошові кошти на кінець періоду</t>
  </si>
  <si>
    <t>IV. Капітальні інвестиції</t>
  </si>
  <si>
    <t>Капітальні інвестиції</t>
  </si>
  <si>
    <t>V. Коефіцієнтний аналіз</t>
  </si>
  <si>
    <t>Коефіцієнт рентабельності активів</t>
  </si>
  <si>
    <t>x</t>
  </si>
  <si>
    <t>Коефіцієнт рентабельності власного капіталу</t>
  </si>
  <si>
    <t>Коефіцієнт фінансової стійкості</t>
  </si>
  <si>
    <t>VI. Звіт про фінансовий стан</t>
  </si>
  <si>
    <t>Необоротні активи</t>
  </si>
  <si>
    <t>Оборотні активи</t>
  </si>
  <si>
    <t>у тому числі грошові кошти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</si>
  <si>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</si>
  <si>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</si>
  <si>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</si>
  <si>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</si>
  <si>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</si>
  <si>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</si>
  <si>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</si>
  <si>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r>
      <rPr>
        <sz val="14"/>
        <rFont val="Times New Roman"/>
        <charset val="134"/>
      </rPr>
      <t xml:space="preserve">Керівник </t>
    </r>
    <r>
      <rPr>
        <u/>
        <sz val="14"/>
        <rFont val="Times New Roman"/>
        <charset val="134"/>
      </rPr>
      <t xml:space="preserve"> Директор</t>
    </r>
  </si>
  <si>
    <t>_____________________________</t>
  </si>
  <si>
    <t>Тимур ГОЛОВАХА</t>
  </si>
  <si>
    <t>(посада)</t>
  </si>
  <si>
    <t>(підпис)</t>
  </si>
  <si>
    <t xml:space="preserve">         (ініціали, прізвище)    </t>
  </si>
  <si>
    <t>Таблиця I. Формування фінансових результатів</t>
  </si>
  <si>
    <t>План</t>
  </si>
  <si>
    <t>Пояснення та обґрунтування до запланованого рівня доходів/витрат</t>
  </si>
  <si>
    <t>І   квартал</t>
  </si>
  <si>
    <t>Доходи і витрати (деталізація)</t>
  </si>
  <si>
    <t>Чистий дохід від реалізації продукції (товарів, робіт, послуг) (розшифрувати)</t>
  </si>
  <si>
    <t xml:space="preserve">Діяльність у сфері інжинірингу, геології та геодезії, надання послуг технічного консультування в цих сферах         </t>
  </si>
  <si>
    <t>1000/1</t>
  </si>
  <si>
    <t xml:space="preserve">                     </t>
  </si>
  <si>
    <t>Послуги з енергетичного обстеження  (енергоаудит або експрес-аудит) обектів державної, комунальної та приватної власності</t>
  </si>
  <si>
    <t>1000/2</t>
  </si>
  <si>
    <t>Собівартість реалізованої продукції (товарів, робіт, послуг) (розшифрувати)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</si>
  <si>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</si>
  <si>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</si>
  <si>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</si>
  <si>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</si>
  <si>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</si>
  <si>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</si>
  <si>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</si>
  <si>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</si>
  <si>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 xml:space="preserve">послуги інших сторонніх організацій </t>
  </si>
  <si>
    <t>1018/1</t>
  </si>
  <si>
    <t>Валовий прибуток (збиток)</t>
  </si>
  <si>
    <t>Інші операційні доходи (розшифрувати), у тому числі:</t>
  </si>
  <si>
    <t>дохід в сумі амортизації, нарахованої на вартість ОФ, придбаних за бюджетні кошти</t>
  </si>
  <si>
    <t>1030/1</t>
  </si>
  <si>
    <t>курсові різниці</t>
  </si>
  <si>
    <t>Фінансування Міської  програми муніципального розвитку  м. Дніпра на 2022 -2026 роки</t>
  </si>
  <si>
    <t xml:space="preserve">Фінансування Програми фінансової підтримки та внесків до статутних капіталів комунальних підприємств Дніпровської міської ради 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</si>
  <si>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</si>
  <si>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</si>
  <si>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</si>
  <si>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</si>
  <si>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</si>
  <si>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</si>
  <si>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</si>
  <si>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</si>
  <si>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</si>
  <si>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</si>
  <si>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</si>
  <si>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</si>
  <si>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</si>
  <si>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поверка КВП</t>
  </si>
  <si>
    <t>1054/1</t>
  </si>
  <si>
    <t>інші організаційно-технічні послуги</t>
  </si>
  <si>
    <t>1054/2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</si>
  <si>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</si>
  <si>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</si>
  <si>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</si>
  <si>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</si>
  <si>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</si>
  <si>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</si>
  <si>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</si>
  <si>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інші адміністративні витрати (розшифрувати)</t>
  </si>
  <si>
    <t>послуги банка</t>
  </si>
  <si>
    <t>1062/1</t>
  </si>
  <si>
    <t>розрахунково-касове обслуговування</t>
  </si>
  <si>
    <t>1062/1/1</t>
  </si>
  <si>
    <t xml:space="preserve">комісія за купівлю іноземної валюти </t>
  </si>
  <si>
    <t>1062/1/2</t>
  </si>
  <si>
    <t>комісія за вихідні перекази (валюта)</t>
  </si>
  <si>
    <t>1062/1/3</t>
  </si>
  <si>
    <t>комісія за продаж іноземної валюти</t>
  </si>
  <si>
    <t>1062/1/4</t>
  </si>
  <si>
    <t>послуги сторонніх організацій</t>
  </si>
  <si>
    <t>1062/2</t>
  </si>
  <si>
    <t>витрати на комунальні послуги</t>
  </si>
  <si>
    <t>1062/3</t>
  </si>
  <si>
    <t>відшкодування витрат на електроенергію, водопостачання і водовідведення, теплопостачання, експлуатаційні</t>
  </si>
  <si>
    <t>1062/4</t>
  </si>
  <si>
    <t xml:space="preserve">витрати на водопостачання і водовідведення </t>
  </si>
  <si>
    <t>1062/5</t>
  </si>
  <si>
    <t>витрати на придбання предметів, матеріалів, обладнання та інвентарю</t>
  </si>
  <si>
    <t>1062/6</t>
  </si>
  <si>
    <t>витрати на придбання малоцінних швидкозношувальних предметів</t>
  </si>
  <si>
    <t>1062/7</t>
  </si>
  <si>
    <t>Витрати, пов'язані із придбанням товарів/послуг для потреб забезпечення оборони держави у зв'язку з військовою агресією Російської Федерації проти України</t>
  </si>
  <si>
    <t>проведення технічного нагляду за будівельними роботами в бюджетних установах (послуги сторонніх організіцій)</t>
  </si>
  <si>
    <t>1062/5/1</t>
  </si>
  <si>
    <t>забезпечення виплат відпусток</t>
  </si>
  <si>
    <t>1062/8</t>
  </si>
  <si>
    <t>Витрати на збут, у тому числі:</t>
  </si>
  <si>
    <t>транспортні витрати</t>
  </si>
  <si>
    <t>витрати на зберігання та упаковку</t>
  </si>
  <si>
    <t>витрати на рекламу</t>
  </si>
  <si>
    <t>інші витрати на збут (розшифрувати)</t>
  </si>
  <si>
    <t>1076/1</t>
  </si>
  <si>
    <t>Інші операційні витрати, усього, у тому числі: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</si>
  <si>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</si>
  <si>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</si>
  <si>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</si>
  <si>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</si>
  <si>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штраф, пеня</t>
  </si>
  <si>
    <t>1085/1</t>
  </si>
  <si>
    <t>лікарняні за рахунок підприємства</t>
  </si>
  <si>
    <t>1085/2</t>
  </si>
  <si>
    <t>відрах.на соціальні заходи з лікарн.</t>
  </si>
  <si>
    <t>1085/3</t>
  </si>
  <si>
    <t>Гарантія виконання зобов'язань, повернення авансового платежу та страхування</t>
  </si>
  <si>
    <t>1085/4</t>
  </si>
  <si>
    <t>Передача витрат по підвищенню енергоефективності в бюджетних установах та закладах м. Дніпра (1-2 етап)</t>
  </si>
  <si>
    <t>1085/5</t>
  </si>
  <si>
    <t>Витрати, пов'язані з придбанням товарів/послуг для потреб забезпечення оборони держави у зв'язку з військовою агресією Російської федерації проти України (за забеспечення потреб ЗСУ, сил ТрО та добровольчих формувань Дніпровської міської територіальної громади)</t>
  </si>
  <si>
    <t>Витрати, пов'язані з придбанням товарів/послуг для забезпечення потреб та поліпшення матеріального, технічного забезпечення  Збройних сил України, у тому числі  добровольчих формувань Дніпровської міської територіальної громади (заходи відповідно до Програми щодо сприяння територіальної оборони міста Дніпра на 2022-2026 роки)</t>
  </si>
  <si>
    <t>1085/6</t>
  </si>
  <si>
    <t>Дохід від участі в капіталі (розшифрувати)</t>
  </si>
  <si>
    <t>Інші фінансові доходи (розшифрувати)</t>
  </si>
  <si>
    <t>Відсотки від депозиту</t>
  </si>
  <si>
    <t>1120/1</t>
  </si>
  <si>
    <t>відсотки за депозитом</t>
  </si>
  <si>
    <t>Втрати від участі в капіталі (розшифрувати)</t>
  </si>
  <si>
    <t>Фінансові витрати (розшифрувати)</t>
  </si>
  <si>
    <t xml:space="preserve"> Обслуговування кредитів Європейського банку Реконструкції та Розвитку</t>
  </si>
  <si>
    <t>1140/1</t>
  </si>
  <si>
    <t xml:space="preserve">Комісійні за зобов’язання за ставкою 0,5% річних на ту частину кредиту, яка на той момент залишається невиплаченою позичальнику та не скасованою  </t>
  </si>
  <si>
    <t>1140/1/1</t>
  </si>
  <si>
    <t>Сплата маржи згідно умов  кредитного договору</t>
  </si>
  <si>
    <t>1140/1/2</t>
  </si>
  <si>
    <t>Послуги сторонніх юридичних радників, пов'язані з обслуговуванням кредиту ЄБРР</t>
  </si>
  <si>
    <t>1140/2/3</t>
  </si>
  <si>
    <t>Послуги процесуальних анегтів, пов'язані з обслуговуванням кредиту ЄБРР</t>
  </si>
  <si>
    <t>1140/2/4</t>
  </si>
  <si>
    <t>Одноразова комісія в сумі 25 000 євро за надання крелиту, згідно Кредитного договору від 20.10.20 р.</t>
  </si>
  <si>
    <t>1140/2/5</t>
  </si>
  <si>
    <t xml:space="preserve"> Обслуговування кредиту ЕКСІМБАНКУ</t>
  </si>
  <si>
    <t>1140/2</t>
  </si>
  <si>
    <t>1140/2/1</t>
  </si>
  <si>
    <t>Сплата одноразової комісії за надання кредиту</t>
  </si>
  <si>
    <t>1140/2/2</t>
  </si>
  <si>
    <t>Сплата комісії за управління</t>
  </si>
  <si>
    <t>Інші доходи (розшифрувати), у тому числі:</t>
  </si>
  <si>
    <t>проценти банка</t>
  </si>
  <si>
    <t>1150/1</t>
  </si>
  <si>
    <t>1150/2</t>
  </si>
  <si>
    <t>загальний фонд</t>
  </si>
  <si>
    <t xml:space="preserve">Фінансування на оплату комісійних за зобов’язання за ставкою 0,5% річних на ту частину кредиту, яка на той момент залишається невиплаченою позичальнику та не скасованою  </t>
  </si>
  <si>
    <t>1150/2/1</t>
  </si>
  <si>
    <t>Фінансування на сплату маржи згідно умов кредитного договору</t>
  </si>
  <si>
    <t>1150/2/2</t>
  </si>
  <si>
    <t>Фінансування фактичних витрат на сторонніх юридичних радників («Витрати»), пов’язаних з обслуговуванням  Банком кредиту, згідно підтверджуючих документів Банку</t>
  </si>
  <si>
    <t>1150/2/3</t>
  </si>
  <si>
    <t>Фінансування витрат, пов'язаних із  забезпеченням  реалізації Інвестиційної програми "Підвищення енергоефективності у бюджетних установах та закладах  м. Дніпра із впровадженням "енергетичного перфоманс- контракту "(пілотний проект)"</t>
  </si>
  <si>
    <t>1150/2/4</t>
  </si>
  <si>
    <t xml:space="preserve">Фінансування на сплату  комісії за купівлю іноземної валюти </t>
  </si>
  <si>
    <t>1150/2/5</t>
  </si>
  <si>
    <t>Дохід від безоплатно отриманих активів</t>
  </si>
  <si>
    <t>1150/3</t>
  </si>
  <si>
    <t>Фінансування Програми щодо сприяння територіальній обороні міста Дніпра на 2022–2026 роки</t>
  </si>
  <si>
    <t>1150/4</t>
  </si>
  <si>
    <t>Фінансування Програми фінансової підтримки та внесків до статутних капіталів комунальних підприємств Дніпровської міської ради на 2016-2022 р.</t>
  </si>
  <si>
    <t>1150/5</t>
  </si>
  <si>
    <t>Інші витрати (розшифрувати), у тому числі:</t>
  </si>
  <si>
    <t>Погашення та обслуговування кредиту Європейського банку Реконструкції та Розвитку</t>
  </si>
  <si>
    <t>1160/1</t>
  </si>
  <si>
    <t>1160/1/1</t>
  </si>
  <si>
    <t>Витрати, пов'язані із  забезпеченням  реалізації Інвестиційної програми "Підвищення енергоефективності у бюджетних установах та закладах  м. Дніпра із впровадженням "енергетичного перфоманс- контракту "(пілотний проект)", в т.ч.</t>
  </si>
  <si>
    <t>1160/2</t>
  </si>
  <si>
    <t>проведення технічного нагляду за будівельними роботами в бюджетних установах</t>
  </si>
  <si>
    <t>1160/2/1</t>
  </si>
  <si>
    <t>інші витрати</t>
  </si>
  <si>
    <t>1160/2/2</t>
  </si>
  <si>
    <t xml:space="preserve">Витрати, пов'язані із обслуговуванням кредиту КП "ДМЕСКО" ДМР для забезпечення реалізації Пілотного проекту "Підвищення енергоефективності у бюджетних установах м. Дніпропетровська </t>
  </si>
  <si>
    <t>1160/3</t>
  </si>
  <si>
    <t xml:space="preserve">Прибуток (збиток) від  припиненої діяльності після оподаткування </t>
  </si>
  <si>
    <t>Чистий  фінансовий результат, у тому числі:</t>
  </si>
  <si>
    <t xml:space="preserve">прибуток </t>
  </si>
  <si>
    <t>збиток</t>
  </si>
  <si>
    <t>Неконтрольована частка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</si>
  <si>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</si>
  <si>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</si>
  <si>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</si>
  <si>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</si>
  <si>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</si>
  <si>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</si>
  <si>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Розрахунок показника EBITDA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</si>
  <si>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</si>
  <si>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</si>
  <si>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</si>
  <si>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</si>
  <si>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мінус/плюс значні нетипові операційні доходи/витрати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</si>
  <si>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</si>
  <si>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</si>
  <si>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</si>
  <si>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Витрати на оплату праці</t>
  </si>
  <si>
    <t>Амортизація</t>
  </si>
  <si>
    <t>Інші операційні витрати</t>
  </si>
  <si>
    <t>Усього</t>
  </si>
  <si>
    <t>Таблиця 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</si>
  <si>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</si>
  <si>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</si>
  <si>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Відрахування частини чистого прибутку, усього, у тому числі: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</si>
  <si>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</si>
  <si>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</si>
  <si>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</si>
  <si>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</si>
  <si>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</si>
  <si>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</si>
  <si>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</si>
  <si>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</si>
  <si>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коригування залишку нерозподіленного прибутку (збитку) на початок звітного періоду на суму нарахованого резерву відпусток за минулі періоди</t>
  </si>
  <si>
    <t>2060/1</t>
  </si>
  <si>
    <t>коригування залишку нерозподіленного прибутку (збитку) на початок звітного періоду на суму нараховани відсотків за користування  кредитом за минулі періоди</t>
  </si>
  <si>
    <t>2060/2</t>
  </si>
  <si>
    <t>Залишок нерозподіленого прибутку (непокритого збитку) на кінець звітного періоду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</si>
  <si>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</si>
  <si>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</si>
  <si>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</si>
  <si>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Інші поточні податки, збори, обов'язкові платежі до державного та місцевих бюджетів, у тому числі:</t>
  </si>
  <si>
    <t>акцизний податок</t>
  </si>
  <si>
    <t>рентна плата за транспортування</t>
  </si>
  <si>
    <t>плата за користування надрами</t>
  </si>
  <si>
    <t>податок на доходи фізичних осіб</t>
  </si>
  <si>
    <t>погашення податкового боргу, у тому числі: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</si>
  <si>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</si>
  <si>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2145/1</t>
  </si>
  <si>
    <t>неустойки (штрафи, пені)</t>
  </si>
  <si>
    <t>2145/2</t>
  </si>
  <si>
    <t>місцеві податки та збори (розшифрувати)</t>
  </si>
  <si>
    <t>інші платежі (розшифрувати)</t>
  </si>
  <si>
    <t>військовий збір</t>
  </si>
  <si>
    <t>2147/1</t>
  </si>
  <si>
    <t>Таблиця ІІІ. Рух грошових коштів</t>
  </si>
  <si>
    <t>Код рядка</t>
  </si>
  <si>
    <t>План поточного року</t>
  </si>
  <si>
    <t>І  квартал</t>
  </si>
  <si>
    <t>І. Рух коштів у результаті операційної діяльності</t>
  </si>
  <si>
    <t xml:space="preserve">Прибуток (збиток) від звичайної діяльності до оподаткування </t>
  </si>
  <si>
    <t>Коригування на: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</si>
  <si>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</si>
  <si>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</si>
  <si>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</si>
  <si>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</si>
  <si>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коригування суми непокритого збитку</t>
  </si>
  <si>
    <t>3030/1</t>
  </si>
  <si>
    <t>безоплатно отримані нематеріальні активи (кошторисна документація)</t>
  </si>
  <si>
    <t>3030/2</t>
  </si>
  <si>
    <t>суму нарахованого резерву відпусток за минулі періоди</t>
  </si>
  <si>
    <t>нараховані відсотки за користування кредитом</t>
  </si>
  <si>
    <t>3030/3</t>
  </si>
  <si>
    <t>Прибуток (збиток) від операційної діяльності до змін в оборотному капіталі</t>
  </si>
  <si>
    <t>Зменшення (збільшення) оборотних активів (розшифрувати)</t>
  </si>
  <si>
    <t>запаси (отримані роботи від підрядника)</t>
  </si>
  <si>
    <t>3050/1</t>
  </si>
  <si>
    <t>проведення технічного нагляду за будівельними роботами в бюджетних установах (роботи що є складовою частиною капітального ремонту)</t>
  </si>
  <si>
    <t>3050/2</t>
  </si>
  <si>
    <t>проведення авторського нагляду за будівельними роботами в бюджетних установах (роботи що є складовою частиною капітального ремонту)</t>
  </si>
  <si>
    <t>3050/3</t>
  </si>
  <si>
    <t>Послуги з розробки та виготовлення енергетичних сертифікатів для закладів освіти, в яких впроваджено заходи з енергозбереження</t>
  </si>
  <si>
    <t>3050/4</t>
  </si>
  <si>
    <t>Виготовлення проектно-кошторисної документації на "Капітальний ремонт на     об'єкті за адресою розташування"Комунального закладу освіти "Середня загальноосвітня школа №45"Дніпровської міської ради м.Дніпро, вул.С.Ковалевської, 88А</t>
  </si>
  <si>
    <t>3050/5</t>
  </si>
  <si>
    <t>Інша поточна дебіторська заборгованість</t>
  </si>
  <si>
    <t>3050/6</t>
  </si>
  <si>
    <t>Збільшення (зменшення) поточних зобов’язань (розшифрувати)</t>
  </si>
  <si>
    <t>кредиторська заборгованість</t>
  </si>
  <si>
    <t>3060/1</t>
  </si>
  <si>
    <t>інші поточні зобовязання</t>
  </si>
  <si>
    <t>3060/2</t>
  </si>
  <si>
    <t>доходи майбутніх періодів</t>
  </si>
  <si>
    <t xml:space="preserve"> 3060/2/1</t>
  </si>
  <si>
    <t>Грошові кошти від операційної діяльності</t>
  </si>
  <si>
    <t>Сплачений податок на прибуток</t>
  </si>
  <si>
    <t>Чистий рух грошових коштів операційної діяльності</t>
  </si>
  <si>
    <t>II. Рух коштів у результаті інвестиційної діяльності</t>
  </si>
  <si>
    <t>Надходження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</si>
  <si>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</si>
  <si>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</si>
  <si>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Надходження від продажу акцій та облігацій </t>
  </si>
  <si>
    <t>Надходження від отриманих:</t>
  </si>
  <si>
    <t>відсотків </t>
  </si>
  <si>
    <t>дивідендів </t>
  </si>
  <si>
    <t>Надходження від деривативів</t>
  </si>
  <si>
    <t xml:space="preserve">Інші надходження (розшифрувати) </t>
  </si>
  <si>
    <t>вартість списаних основних засобів</t>
  </si>
  <si>
    <t>3260/1</t>
  </si>
  <si>
    <t>Витрати</t>
  </si>
  <si>
    <t xml:space="preserve">Придбання (створення) основних засобів (розшифрувати) </t>
  </si>
  <si>
    <t>придбання орг. техніки, контрольно-вимірювальних приладів, фотоапарат</t>
  </si>
  <si>
    <t>3270/1</t>
  </si>
  <si>
    <t>придбання меблів</t>
  </si>
  <si>
    <t>3270/2</t>
  </si>
  <si>
    <t>3270/3</t>
  </si>
  <si>
    <t>придбання службового автомобіля</t>
  </si>
  <si>
    <t>придбання обладнання для енергетичного обстеження будівель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</si>
  <si>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</si>
  <si>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</si>
  <si>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придбання програмного забезпечення</t>
  </si>
  <si>
    <t>3290/1</t>
  </si>
  <si>
    <t xml:space="preserve">Придбання акцій та облігацій  </t>
  </si>
  <si>
    <t>Інші витрати (розшифрувати)</t>
  </si>
  <si>
    <t>придбання комплектуючих до орг.техніки</t>
  </si>
  <si>
    <t>3310/1</t>
  </si>
  <si>
    <t>придбання інших необоротних матеріальних активів</t>
  </si>
  <si>
    <t>3310/2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</si>
  <si>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</si>
  <si>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</si>
  <si>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</t>
  </si>
  <si>
    <t>Власного капіталу </t>
  </si>
  <si>
    <t>Отримання коштів  за довгостроковими зобов'язаннями, у тому числі:</t>
  </si>
  <si>
    <t>кредити</t>
  </si>
  <si>
    <t xml:space="preserve">позики </t>
  </si>
  <si>
    <t>облігації</t>
  </si>
  <si>
    <t>Отримання коштів за короткостроковими зобов'язаннями, у тому числі:</t>
  </si>
  <si>
    <t>Цільове фінансування  (розшифрувати)</t>
  </si>
  <si>
    <t>Фінансування на сплату технічного та авторськогонагляду за будівельними роботами в бюджетних установах в рамках Інвестиційної програми "Підвищення енергоефективності у бюджетних установах та закладах  м. Дніпра із впровадженням "енергетичного перфоманс- контракту "(пілотний проект)"</t>
  </si>
  <si>
    <t>3470/1</t>
  </si>
  <si>
    <t>Фінансування на сплату послуг з розробки та виготовлення енергетичних сертифікатів для закладів освіти, в яких впроваджено заходи з енергозбереження</t>
  </si>
  <si>
    <t>3470/2</t>
  </si>
  <si>
    <t>Фінансування на сплату  заборгованості 60%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</si>
  <si>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3470/3</t>
  </si>
  <si>
    <t>Фінансування на погашення кредиту ЄБРР</t>
  </si>
  <si>
    <t>3470/4</t>
  </si>
  <si>
    <t>Фінансування на виготовлення проектно-кошторисної документації на "Капітальний ремонт на     об'єкті за адресою розташування"Комунального закладу освіти "Середня загальноосвітня школа №45"Дніпровської міської ради м.Дніпро, вул.С.Ковалевської, 88А</t>
  </si>
  <si>
    <t>3470/5</t>
  </si>
  <si>
    <t>внески органів місцевого самоврядування до статутного капіталу</t>
  </si>
  <si>
    <t>3480/1</t>
  </si>
  <si>
    <t>Повернення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</si>
  <si>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</si>
  <si>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Розробка Технікоекономічних обгрунтувань для залучення інвестицій Європейського Інвестиційного Банку</t>
  </si>
  <si>
    <t>3570/1</t>
  </si>
  <si>
    <t>виплата заробітної плати персоналу (у тому числі кредиторська заборгованість)</t>
  </si>
  <si>
    <t>3570/2</t>
  </si>
  <si>
    <t>сплата єдиного внеску на загальнообовязкове державне соціальне страхування (у тому числі кредиторська заборгованість)</t>
  </si>
  <si>
    <t>3570/3</t>
  </si>
  <si>
    <t>придбання матеріалів</t>
  </si>
  <si>
    <t>3570/4</t>
  </si>
  <si>
    <t>3570/5</t>
  </si>
  <si>
    <t>3570/6</t>
  </si>
  <si>
    <t>3570/7</t>
  </si>
  <si>
    <t>3570/8</t>
  </si>
  <si>
    <t>3570/9</t>
  </si>
  <si>
    <t>3570/10</t>
  </si>
  <si>
    <t>послуги інших сторонніх організацій (в т.ч. кредиторська заборгованість)</t>
  </si>
  <si>
    <t>3570/11</t>
  </si>
  <si>
    <t>зменшення додаткового капіталу</t>
  </si>
  <si>
    <t>Чистий рух коштів від фінансової діяльності </t>
  </si>
  <si>
    <t>Грошові кошти:</t>
  </si>
  <si>
    <t>на початок періоду</t>
  </si>
  <si>
    <t>на кінець періоду</t>
  </si>
  <si>
    <t>Чистий грошовий потік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</si>
  <si>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</si>
  <si>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</si>
  <si>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</si>
  <si>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</si>
  <si>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</si>
  <si>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</si>
  <si>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</si>
  <si>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</si>
  <si>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</si>
  <si>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</si>
  <si>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</si>
  <si>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</si>
  <si>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</si>
  <si>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</si>
  <si>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Збільшення</t>
  </si>
  <si>
    <t>Рентабельність EBITDA
(EBITDA, рядок 1410 / чистий дохід від реалізації продукції (товарів, робіт, послуг), рядок 1000, %)</t>
  </si>
  <si>
    <t>Коефіцієнт рентабельності активів
(чистий фінансовий результат, рядок 1200 / вартість активів, рядок 6030)</t>
  </si>
  <si>
    <t>Характеризує ефективність використання активів підприємства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</si>
  <si>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</si>
  <si>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</si>
  <si>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&gt; 0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</si>
  <si>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</si>
  <si>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</si>
  <si>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</si>
  <si>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</si>
  <si>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</si>
  <si>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</si>
  <si>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6050)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</si>
  <si>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</si>
  <si>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</si>
  <si>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</si>
  <si>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</si>
  <si>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Коефіцієнт зносу основних засобів 
(сума зносу / первісна вартість основних засобів) 
(форма 1, рядок 1012 / форма 1, рядок 1011)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</si>
  <si>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</si>
  <si>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</si>
  <si>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</si>
  <si>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Інформація</t>
  </si>
  <si>
    <t>до фінансового плану на 2023 рік</t>
  </si>
  <si>
    <t>Комунальне підприємство "Дніпровська муніципальна енергосервісна компанія" Дніпровської міської ради</t>
  </si>
  <si>
    <t>(найменування підприємства)</t>
  </si>
  <si>
    <t xml:space="preserve">      1. Дані про підприємство, персонал та фонд заробітної плати</t>
  </si>
  <si>
    <t xml:space="preserve">      Загальна інформація про підприємство (резюме): Комунальне підприємство «Дніпровська муніципальна енергосервісна компанія» Дніпровської міської ради  є комунальним унітарним комерційним підприємством та правонаступником міського комунального підприємства „Дніпропетровська муніципальна енергосервісна компанія", яке було створено відповідно рішення Дніпропетровської міської ради від 27.09.2006 № 21/4 та зареєстровано виконкомом Дніпропетровської міської ради 17.11.2006, запис про державну реєстрацію № 12241020000031566.
 Власником Підприємства є територіальна громада міста Дніпро в особі Дніпровської міської ради, ідентифікаційний код - 26510514, місце знаходження: 49000, м. Дніпро, проспект Дмитра Яворницького, буд.75.</t>
  </si>
  <si>
    <t xml:space="preserve">      Загальна інформація про підприємство (резюме)</t>
  </si>
  <si>
    <t>План минулого року</t>
  </si>
  <si>
    <t>Плановий рік до плану поточного року, %</t>
  </si>
  <si>
    <t>Плановий рік до факту минулого року, %</t>
  </si>
  <si>
    <t>Середньооблікова чисельність осіб, у тому числі: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</si>
  <si>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</si>
  <si>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</si>
  <si>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</si>
  <si>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</si>
  <si>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</si>
  <si>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</si>
  <si>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Фонд оплати праці, тис.гривень, у тому числі:</t>
  </si>
  <si>
    <t>директор</t>
  </si>
  <si>
    <t>фоп</t>
  </si>
  <si>
    <t>адміністративно-управлінський персонал</t>
  </si>
  <si>
    <t>працівники</t>
  </si>
  <si>
    <t>Витрати на оплату праці, тис. гривень, у тому числі:</t>
  </si>
  <si>
    <t>фоп  + 22%</t>
  </si>
  <si>
    <t>Середньомісячна заробітна плата одного працівника, гривень</t>
  </si>
  <si>
    <t>оклади</t>
  </si>
  <si>
    <t>Середньомісячний дохід одного працівника, гривень</t>
  </si>
  <si>
    <t>оклади+надбавка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</si>
  <si>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</si>
  <si>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</si>
  <si>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</si>
  <si>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</si>
  <si>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</si>
  <si>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</si>
  <si>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Питома вага в загальному обсязі реалізації, %</t>
  </si>
  <si>
    <t>Фактичний показник за 2021 рік</t>
  </si>
  <si>
    <t>Плановий показник поточного 2022 року</t>
  </si>
  <si>
    <t>Фактичний показник поточного року за останній звітний період 2022 року</t>
  </si>
  <si>
    <t>Плановий 2023рік</t>
  </si>
  <si>
    <t>за минулий рік</t>
  </si>
  <si>
    <t>за плановий рік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</si>
  <si>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</si>
  <si>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</si>
  <si>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</si>
  <si>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 xml:space="preserve">Адміністративна послуга у сфері економіки (інші організаційні заходи з енергозбереження), а саме: проведення обстеження бюджетних установ (закладів освіти) </t>
  </si>
  <si>
    <t>15 посл.</t>
  </si>
  <si>
    <t>Послуга з управління обчислювальними засобами, що пов’язані з обслуговуванням "Муніципальної системи моніторингу споживання енергоресурсів" в бюджетних установах та організаціях 
м. Дніпропетровська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</si>
  <si>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</si>
  <si>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</si>
  <si>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</si>
  <si>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</si>
  <si>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</si>
  <si>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</si>
  <si>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</si>
  <si>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</si>
  <si>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Європейський банк реконструкції та розвитку (ЄБРР)</t>
  </si>
  <si>
    <t>Кредитний договір б/н від 13.12.2013 р.</t>
  </si>
  <si>
    <t>євро</t>
  </si>
  <si>
    <t>2021-2031</t>
  </si>
  <si>
    <t>Договір гарантії, відшкодування та підтримки проекту між Дніпропетровською міською радою та ЄБРР від 22.09.2014 р.</t>
  </si>
  <si>
    <t>Кредитний договір б/н від 20.10.2020 р.</t>
  </si>
  <si>
    <t>2024-2033</t>
  </si>
  <si>
    <t>Договір гарантії, відшкодування та підтримки проекту між Дніпровською міською радою та ЄБРР від 20.10.2020 р.</t>
  </si>
  <si>
    <t>АТ "ЕКСІМБАНК"</t>
  </si>
  <si>
    <t>Кредитний договір №22-63KV0002 від 22.04.2022 р.</t>
  </si>
  <si>
    <t>2022-2024</t>
  </si>
  <si>
    <t>Договір банківськго вкладу з виплатою процентів щомісяця №22/00033 від 22.04.2022 р.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</si>
  <si>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</si>
  <si>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</si>
  <si>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2023  року</t>
  </si>
  <si>
    <t>План із залучення коштів</t>
  </si>
  <si>
    <t>План з повернення коштів</t>
  </si>
  <si>
    <t>Заборгованість за кредитами на кінець 2023 року</t>
  </si>
  <si>
    <t xml:space="preserve">Довгострокові зобов'язання, усього </t>
  </si>
  <si>
    <t>у тому числі:</t>
  </si>
  <si>
    <t>Кредитний договір від 13.12.2013 р.</t>
  </si>
  <si>
    <t>Кредитний договір від 20.10.2020 р.</t>
  </si>
  <si>
    <t>Короткострокові зобов'язання, усього</t>
  </si>
  <si>
    <t xml:space="preserve">у тому числі: </t>
  </si>
  <si>
    <t>Кредитний договір ЕКСІМБАНК</t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</si>
  <si>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</si>
  <si>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1041)</t>
  </si>
  <si>
    <t>№ з/п</t>
  </si>
  <si>
    <t>Марка</t>
  </si>
  <si>
    <t>Рік придбання</t>
  </si>
  <si>
    <t>Мета використання</t>
  </si>
  <si>
    <t>Витрати, усього</t>
  </si>
  <si>
    <t>У тому числі за їх видами</t>
  </si>
  <si>
    <t>матеріальні витрати</t>
  </si>
  <si>
    <t>оплата праці</t>
  </si>
  <si>
    <t>амортизація</t>
  </si>
  <si>
    <t>7. Витрати на оренду службових автомобілів (у складі адміністративних витрат, рядок 1042)</t>
  </si>
  <si>
    <t>Договір</t>
  </si>
  <si>
    <t>Дата початку оренди</t>
  </si>
  <si>
    <t>Сума орендної плати</t>
  </si>
  <si>
    <t>Усього на рік</t>
  </si>
  <si>
    <t>у тому числі за кварталами</t>
  </si>
  <si>
    <t>8. Джерела капітальних інвестицій</t>
  </si>
  <si>
    <t>тис. гривень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</si>
  <si>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</si>
  <si>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</si>
  <si>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</si>
  <si>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</si>
  <si>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</si>
  <si>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 xml:space="preserve">І квартал </t>
  </si>
  <si>
    <t>Придбання основних засобів</t>
  </si>
  <si>
    <t>Придбання службового автомобіля</t>
  </si>
  <si>
    <t>Придбання нематеріальних активів, в.т.ч.</t>
  </si>
  <si>
    <t>Придбання інших необоротних матеріальних активів</t>
  </si>
  <si>
    <t>Відсоток</t>
  </si>
  <si>
    <t>9. Капітальне будівництво (рядок 4010 таблиці 4)</t>
  </si>
  <si>
    <t>№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</si>
  <si>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</si>
  <si>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</si>
  <si>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</si>
  <si>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</si>
  <si>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</si>
  <si>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</si>
  <si>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</si>
  <si>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</si>
  <si>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</si>
  <si>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</si>
  <si>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</si>
  <si>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</si>
  <si>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</si>
  <si>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r>
      <rPr>
        <sz val="14"/>
        <rFont val="Times New Roman"/>
        <charset val="134"/>
      </rPr>
      <t xml:space="preserve">Керівник   </t>
    </r>
    <r>
      <rPr>
        <u/>
        <sz val="16"/>
        <rFont val="Times New Roman"/>
        <charset val="134"/>
      </rPr>
      <t>Директор</t>
    </r>
  </si>
  <si>
    <t>____________________________________________</t>
  </si>
  <si>
    <t>На 01.01.2023</t>
  </si>
  <si>
    <t>№
з/п</t>
  </si>
  <si>
    <t>Назва  структурного підрозділу та посад</t>
  </si>
  <si>
    <t>Кількість штатних посад</t>
  </si>
  <si>
    <t>Посадовий оклад (грн.)</t>
  </si>
  <si>
    <t>Надбавки (грн.) (за складність, напруженість у роботі)</t>
  </si>
  <si>
    <t>Сума</t>
  </si>
  <si>
    <t>Фонд заробітної плати на місяць (грн.)</t>
  </si>
  <si>
    <t xml:space="preserve">Матеріальна допомога на оздоровлення </t>
  </si>
  <si>
    <t>Фонд заробітної плати на рік  (грн.)</t>
  </si>
  <si>
    <t>1 квартал</t>
  </si>
  <si>
    <t>надбавки</t>
  </si>
  <si>
    <t>%</t>
  </si>
  <si>
    <t>Директор</t>
  </si>
  <si>
    <t>Заступник директора</t>
  </si>
  <si>
    <t>Головний інженер</t>
  </si>
  <si>
    <t>Відділ бухгалтерського обліку</t>
  </si>
  <si>
    <t>Головний бухгалтер</t>
  </si>
  <si>
    <t>Економіст</t>
  </si>
  <si>
    <t>Спеціаліст-бухгалтер</t>
  </si>
  <si>
    <t>Відділ підготовки інвестиційних  проектів</t>
  </si>
  <si>
    <t>Начальник відділу підготовки інвестиційних  проектів</t>
  </si>
  <si>
    <t>Інженер</t>
  </si>
  <si>
    <t>Провідний фахівець</t>
  </si>
  <si>
    <t>Відділу  моніторингу</t>
  </si>
  <si>
    <t>Начальник відділу  моніторингу</t>
  </si>
  <si>
    <t>1/2 в собівартість</t>
  </si>
  <si>
    <t>Фахівець</t>
  </si>
  <si>
    <t>Відділ  реалізації інвестиційних проектів (ГРП)</t>
  </si>
  <si>
    <t>Головний інженер проекту</t>
  </si>
  <si>
    <t>Начальник відділу реалізації інвестиційних  проектів</t>
  </si>
  <si>
    <t>Заступник начальника відділу реалізації інвестиційних проектів</t>
  </si>
  <si>
    <t>Провідний консультант з енергозбереження та енергоефективності</t>
  </si>
  <si>
    <t>Провідний експерт із енергозбереження та енергоефективності</t>
  </si>
  <si>
    <t>Провідний юрисконсульт</t>
  </si>
  <si>
    <t>Провідний бухгалтер</t>
  </si>
  <si>
    <t>РАЗОМ</t>
  </si>
  <si>
    <t>1 кв</t>
  </si>
  <si>
    <t>6 міс</t>
  </si>
  <si>
    <t>9 міс</t>
  </si>
  <si>
    <t>собівартість</t>
  </si>
  <si>
    <t>єсв</t>
  </si>
  <si>
    <t>адміністрація</t>
  </si>
  <si>
    <t>в т.ч.</t>
  </si>
  <si>
    <t>група</t>
  </si>
  <si>
    <t>фоп інвалідів</t>
  </si>
  <si>
    <t>ЄСВ інвалідів</t>
  </si>
  <si>
    <t>ФОП</t>
  </si>
  <si>
    <t>ЄСВ</t>
  </si>
  <si>
    <t>для таб 6.1</t>
  </si>
  <si>
    <t>фонд оплати праці</t>
  </si>
  <si>
    <t>ауп</t>
  </si>
  <si>
    <t>середньомісячна зп</t>
  </si>
  <si>
    <t>середньмісячний дохід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</si>
</sst>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5" formatCode="\ * #,##0.00&quot;   &quot;;\-* #,##0.00&quot;   &quot;;\ * \-#&quot;   &quot;;\ @\ "/>
    <numFmt numFmtId="167" formatCode="0.0;\(0.0\);\ ;\-"/>
    <numFmt numFmtId="168" formatCode="0.000"/>
    <numFmt numFmtId="170" formatCode="0.0"/>
    <numFmt numFmtId="171" formatCode="#,##0.0"/>
    <numFmt numFmtId="172" formatCode="dd/mm/yyyy;@"/>
    <numFmt numFmtId="173" formatCode="\ * #,##0\ ;\ * \(#,##0\);\ * \-#\ ;\ @\ "/>
    <numFmt numFmtId="174" formatCode="#,##0\ ;\-#,##0\ "/>
    <numFmt numFmtId="175" formatCode="\ * #,##0&quot;   &quot;;\-* #,##0&quot;   &quot;;\ * \-#&quot;   &quot;;\ @\ "/>
    <numFmt numFmtId="176" formatCode="\ * #,##0\ ;\ * \(#,##0\);\ * &quot;- &quot;;\ @\ "/>
  </numFmts>
  <fonts count="36">
    <font>
      <sz val="10"/>
      <name val="Arial Cyr"/>
      <charset val="204"/>
    </font>
    <font>
      <sz val="10"/>
      <color rgb="FF000000"/>
      <name val="Arial"/>
      <charset val="134"/>
    </font>
    <font>
      <b/>
      <sz val="10"/>
      <name val="Arial Cyr"/>
      <charset val="204"/>
    </font>
    <font>
      <sz val="10"/>
      <name val="Arial"/>
      <charset val="134"/>
    </font>
    <font>
      <b/>
      <sz val="14"/>
      <name val="Times New Roman"/>
      <charset val="134"/>
    </font>
    <font>
      <sz val="14"/>
      <name val="Arial Cyr"/>
      <charset val="204"/>
    </font>
    <font>
      <sz val="14"/>
      <name val="Times New Roman"/>
      <charset val="134"/>
    </font>
    <font>
      <sz val="12"/>
      <name val="Times New Roman"/>
      <charset val="134"/>
    </font>
    <font>
      <i/>
      <sz val="14"/>
      <name val="Times New Roman"/>
      <charset val="134"/>
    </font>
    <font>
      <b/>
      <u/>
      <sz val="16"/>
      <name val="Times New Roman"/>
      <charset val="134"/>
    </font>
    <font>
      <sz val="10"/>
      <name val="Times New Roman"/>
      <charset val="134"/>
    </font>
    <font>
      <sz val="13"/>
      <name val="Times New Roman"/>
      <charset val="134"/>
    </font>
    <font>
      <sz val="16"/>
      <name val="Times New Roman"/>
      <charset val="134"/>
    </font>
    <font>
      <b/>
      <sz val="13"/>
      <name val="Times New Roman"/>
      <charset val="134"/>
    </font>
    <font>
      <sz val="10"/>
      <color rgb="FFFF0000"/>
      <name val="Times New Roman"/>
      <charset val="134"/>
    </font>
    <font>
      <b/>
      <sz val="14"/>
      <color rgb="FFFF0000"/>
      <name val="Times New Roman"/>
      <charset val="134"/>
    </font>
    <font>
      <sz val="10"/>
      <color rgb="FF969696"/>
      <name val="Arial Cyr"/>
      <charset val="204"/>
    </font>
    <font>
      <sz val="14"/>
      <color rgb="FF000000"/>
      <name val="Times New Roman"/>
      <charset val="134"/>
    </font>
    <font>
      <b/>
      <sz val="14"/>
      <color rgb="FF969696"/>
      <name val="Times New Roman"/>
      <charset val="134"/>
    </font>
    <font>
      <sz val="10"/>
      <color rgb="FFFF0000"/>
      <name val="Arial Cyr"/>
      <charset val="204"/>
    </font>
    <font>
      <sz val="14"/>
      <color rgb="FF969696"/>
      <name val="Times New Roman"/>
      <charset val="134"/>
    </font>
    <font>
      <sz val="14"/>
      <color rgb="FFFF0000"/>
      <name val="Times New Roman"/>
      <charset val="134"/>
    </font>
    <font>
      <b/>
      <sz val="12"/>
      <name val="Times New Roman"/>
      <charset val="134"/>
    </font>
    <font>
      <b/>
      <sz val="26"/>
      <name val="Times New Roman"/>
      <charset val="134"/>
    </font>
    <font>
      <sz val="22"/>
      <name val="Times New Roman"/>
      <charset val="134"/>
    </font>
    <font>
      <sz val="18"/>
      <name val="Times New Roman"/>
      <charset val="134"/>
    </font>
    <font>
      <b/>
      <sz val="28"/>
      <name val="Times New Roman"/>
      <charset val="134"/>
    </font>
    <font>
      <b/>
      <sz val="14"/>
      <color rgb="FF92D050"/>
      <name val="Times New Roman"/>
      <charset val="134"/>
    </font>
    <font>
      <sz val="16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b/>
      <sz val="14"/>
      <name val="Arial Cyr"/>
      <charset val="204"/>
    </font>
    <font>
      <sz val="10"/>
      <name val="Tahoma"/>
      <charset val="134"/>
    </font>
    <font>
      <u/>
      <sz val="16"/>
      <name val="Times New Roman"/>
      <charset val="134"/>
    </font>
    <font>
      <u/>
      <sz val="14"/>
      <name val="Times New Roman"/>
      <charset val="134"/>
    </font>
    <font>
      <sz val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9AE"/>
      </patternFill>
    </fill>
    <fill>
      <patternFill patternType="solid">
        <fgColor rgb="FF99CC0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FF99"/>
        <bgColor rgb="FFF7FD9D"/>
      </patternFill>
    </fill>
    <fill>
      <patternFill patternType="solid">
        <fgColor rgb="FFF7FD9D"/>
        <bgColor rgb="FFFFFF99"/>
      </patternFill>
    </fill>
    <fill>
      <patternFill patternType="solid">
        <fgColor rgb="FFFFF9AE"/>
        <bgColor rgb="FFF7FD9D"/>
      </patternFill>
    </fill>
    <fill>
      <patternFill patternType="solid">
        <fgColor rgb="FFCCCCFF"/>
        <bgColor rgb="FF99CCFF"/>
      </patternFill>
    </fill>
    <fill>
      <patternFill patternType="solid">
        <fgColor rgb="FFCC99FF"/>
        <bgColor rgb="FF9999FF"/>
      </patternFill>
    </fill>
    <fill>
      <patternFill patternType="solid">
        <fgColor rgb="FFCCFFCC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5" fontId="35" fillId="0" borderId="0" applyBorder="0" applyProtection="0"/>
    <xf numFmtId="167" fontId="32" fillId="0" borderId="0" applyBorder="0">
      <alignment horizontal="center" vertical="center" wrapText="1"/>
      <protection locked="0"/>
    </xf>
  </cellStyleXfs>
  <cellXfs count="40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0" fillId="0" borderId="2" xfId="0" applyFont="1" applyBorder="1" applyAlignment="1">
      <alignment horizontal="center" wrapText="1"/>
    </xf>
    <xf numFmtId="170" fontId="0" fillId="0" borderId="0" xfId="0" applyNumberFormat="1"/>
    <xf numFmtId="0" fontId="0" fillId="5" borderId="0" xfId="0" applyFill="1"/>
    <xf numFmtId="4" fontId="0" fillId="0" borderId="0" xfId="0" applyNumberFormat="1"/>
    <xf numFmtId="4" fontId="0" fillId="6" borderId="0" xfId="0" applyNumberFormat="1" applyFill="1"/>
    <xf numFmtId="2" fontId="0" fillId="2" borderId="0" xfId="0" applyNumberFormat="1" applyFill="1"/>
    <xf numFmtId="2" fontId="0" fillId="0" borderId="0" xfId="0" applyNumberFormat="1"/>
    <xf numFmtId="168" fontId="0" fillId="2" borderId="0" xfId="0" applyNumberFormat="1" applyFill="1"/>
    <xf numFmtId="4" fontId="0" fillId="2" borderId="0" xfId="0" applyNumberFormat="1" applyFill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4" xfId="0" applyFont="1" applyBorder="1" applyAlignment="1" applyProtection="1">
      <alignment horizontal="center" vertical="center" wrapText="1" shrinkToFit="1"/>
      <protection locked="0"/>
    </xf>
    <xf numFmtId="170" fontId="4" fillId="0" borderId="0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70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right" vertical="center"/>
    </xf>
    <xf numFmtId="170" fontId="4" fillId="0" borderId="0" xfId="0" applyNumberFormat="1" applyFont="1" applyBorder="1" applyAlignment="1">
      <alignment horizontal="right" vertical="center"/>
    </xf>
    <xf numFmtId="171" fontId="6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1" fontId="4" fillId="0" borderId="0" xfId="0" applyNumberFormat="1" applyFont="1" applyBorder="1" applyAlignment="1">
      <alignment horizontal="center" vertical="center" wrapText="1"/>
    </xf>
    <xf numFmtId="171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173" fontId="6" fillId="0" borderId="4" xfId="0" applyNumberFormat="1" applyFont="1" applyBorder="1" applyAlignment="1" applyProtection="1">
      <alignment horizontal="center" vertical="center" wrapText="1"/>
      <protection locked="0"/>
    </xf>
    <xf numFmtId="173" fontId="6" fillId="0" borderId="5" xfId="0" applyNumberFormat="1" applyFont="1" applyBorder="1" applyAlignment="1" applyProtection="1">
      <alignment horizontal="center" vertical="center" wrapText="1"/>
      <protection locked="0"/>
    </xf>
    <xf numFmtId="173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10" fillId="0" borderId="0" xfId="0" applyFont="1"/>
    <xf numFmtId="0" fontId="4" fillId="0" borderId="0" xfId="2" applyNumberFormat="1" applyFont="1" applyBorder="1" applyAlignment="1" applyProtection="1">
      <alignment horizontal="center" vertical="center" wrapText="1"/>
    </xf>
    <xf numFmtId="0" fontId="6" fillId="0" borderId="1" xfId="2" applyNumberFormat="1" applyFont="1" applyBorder="1" applyAlignment="1" applyProtection="1">
      <alignment horizontal="center" vertical="center" wrapText="1"/>
    </xf>
    <xf numFmtId="0" fontId="6" fillId="0" borderId="1" xfId="2" applyNumberFormat="1" applyFont="1" applyBorder="1" applyAlignment="1" applyProtection="1">
      <alignment horizontal="center" vertical="center"/>
    </xf>
    <xf numFmtId="0" fontId="4" fillId="0" borderId="1" xfId="2" applyNumberFormat="1" applyFont="1" applyBorder="1" applyAlignment="1" applyProtection="1">
      <alignment horizontal="left" vertical="center" wrapText="1"/>
    </xf>
    <xf numFmtId="0" fontId="4" fillId="0" borderId="1" xfId="2" applyNumberFormat="1" applyFont="1" applyBorder="1" applyAlignment="1" applyProtection="1">
      <alignment horizontal="left" vertical="center"/>
    </xf>
    <xf numFmtId="170" fontId="6" fillId="7" borderId="1" xfId="2" applyNumberFormat="1" applyFont="1" applyFill="1" applyBorder="1" applyAlignment="1" applyProtection="1">
      <alignment horizontal="center" vertical="center" wrapText="1"/>
    </xf>
    <xf numFmtId="170" fontId="6" fillId="8" borderId="1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2" applyNumberFormat="1" applyFont="1" applyBorder="1" applyAlignment="1" applyProtection="1">
      <alignment horizontal="left" vertical="center" wrapText="1"/>
    </xf>
    <xf numFmtId="0" fontId="6" fillId="0" borderId="1" xfId="2" applyNumberFormat="1" applyFont="1" applyBorder="1" applyAlignment="1" applyProtection="1">
      <alignment horizontal="left" vertical="top" wrapText="1"/>
    </xf>
    <xf numFmtId="2" fontId="6" fillId="7" borderId="1" xfId="2" applyNumberFormat="1" applyFont="1" applyFill="1" applyBorder="1" applyAlignment="1" applyProtection="1">
      <alignment horizontal="center" vertical="center" wrapText="1"/>
    </xf>
    <xf numFmtId="2" fontId="6" fillId="8" borderId="1" xfId="2" applyNumberFormat="1" applyFont="1" applyFill="1" applyBorder="1" applyAlignment="1" applyProtection="1">
      <alignment horizontal="center" vertical="center" wrapText="1"/>
      <protection locked="0"/>
    </xf>
    <xf numFmtId="171" fontId="6" fillId="0" borderId="1" xfId="2" applyNumberFormat="1" applyFont="1" applyBorder="1" applyAlignment="1" applyProtection="1">
      <alignment horizontal="center" vertical="center" wrapText="1"/>
    </xf>
    <xf numFmtId="171" fontId="6" fillId="0" borderId="1" xfId="2" applyNumberFormat="1" applyFont="1" applyBorder="1" applyAlignment="1" applyProtection="1">
      <alignment horizontal="center" vertical="center" wrapText="1"/>
      <protection locked="0"/>
    </xf>
    <xf numFmtId="0" fontId="6" fillId="0" borderId="1" xfId="2" applyNumberFormat="1" applyFont="1" applyBorder="1" applyAlignment="1" applyProtection="1">
      <alignment horizontal="left" vertical="center" wrapText="1"/>
    </xf>
    <xf numFmtId="1" fontId="6" fillId="7" borderId="1" xfId="2" applyNumberFormat="1" applyFont="1" applyFill="1" applyBorder="1" applyAlignment="1" applyProtection="1">
      <alignment horizontal="center" vertical="center" wrapText="1"/>
    </xf>
    <xf numFmtId="2" fontId="6" fillId="0" borderId="1" xfId="2" applyNumberFormat="1" applyFont="1" applyBorder="1" applyAlignment="1" applyProtection="1">
      <alignment horizontal="center" vertical="center" wrapText="1"/>
    </xf>
    <xf numFmtId="2" fontId="6" fillId="0" borderId="1" xfId="2" applyNumberFormat="1" applyFont="1" applyBorder="1" applyAlignment="1" applyProtection="1">
      <alignment horizontal="center" vertical="center" wrapText="1"/>
      <protection locked="0"/>
    </xf>
    <xf numFmtId="170" fontId="6" fillId="0" borderId="1" xfId="2" applyNumberFormat="1" applyFont="1" applyBorder="1" applyAlignment="1" applyProtection="1">
      <alignment horizontal="center" vertical="center" wrapText="1"/>
      <protection locked="0"/>
    </xf>
    <xf numFmtId="49" fontId="6" fillId="0" borderId="1" xfId="2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/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" fontId="6" fillId="8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/>
    </xf>
    <xf numFmtId="0" fontId="16" fillId="0" borderId="0" xfId="0" applyFont="1"/>
    <xf numFmtId="0" fontId="6" fillId="0" borderId="1" xfId="2" applyNumberFormat="1" applyFont="1" applyBorder="1" applyAlignment="1" applyProtection="1">
      <alignment horizontal="left" vertical="center" wrapText="1"/>
      <protection locked="0"/>
    </xf>
    <xf numFmtId="1" fontId="6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/>
      <protection locked="0"/>
    </xf>
    <xf numFmtId="1" fontId="6" fillId="0" borderId="1" xfId="0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7" borderId="1" xfId="0" applyNumberFormat="1" applyFont="1" applyFill="1" applyBorder="1" applyAlignment="1">
      <alignment horizontal="center" vertical="center" wrapText="1"/>
    </xf>
    <xf numFmtId="175" fontId="6" fillId="0" borderId="1" xfId="1" applyNumberFormat="1" applyFont="1" applyBorder="1" applyAlignment="1" applyProtection="1">
      <alignment horizontal="center" vertical="center" wrapText="1"/>
      <protection locked="0"/>
    </xf>
    <xf numFmtId="17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75" fontId="6" fillId="0" borderId="1" xfId="1" applyNumberFormat="1" applyFont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1" fontId="16" fillId="0" borderId="0" xfId="0" applyNumberFormat="1" applyFont="1"/>
    <xf numFmtId="0" fontId="0" fillId="0" borderId="0" xfId="0" applyFont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/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/>
    <xf numFmtId="0" fontId="16" fillId="2" borderId="0" xfId="0" applyFont="1" applyFill="1"/>
    <xf numFmtId="0" fontId="19" fillId="0" borderId="0" xfId="0" applyFont="1"/>
    <xf numFmtId="0" fontId="4" fillId="0" borderId="0" xfId="2" applyNumberFormat="1" applyFont="1" applyBorder="1" applyAlignment="1" applyProtection="1">
      <alignment vertical="center"/>
    </xf>
    <xf numFmtId="0" fontId="4" fillId="0" borderId="0" xfId="2" applyNumberFormat="1" applyFont="1" applyBorder="1" applyAlignment="1" applyProtection="1">
      <alignment horizontal="center" vertical="center"/>
    </xf>
    <xf numFmtId="0" fontId="6" fillId="0" borderId="0" xfId="2" applyNumberFormat="1" applyFont="1" applyBorder="1" applyAlignment="1" applyProtection="1">
      <alignment vertical="center"/>
    </xf>
    <xf numFmtId="0" fontId="6" fillId="0" borderId="0" xfId="2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2" applyNumberFormat="1" applyFont="1" applyBorder="1" applyAlignment="1" applyProtection="1">
      <alignment horizontal="center" vertical="center" wrapText="1"/>
      <protection locked="0"/>
    </xf>
    <xf numFmtId="0" fontId="4" fillId="0" borderId="1" xfId="2" applyNumberFormat="1" applyFont="1" applyBorder="1" applyAlignment="1" applyProtection="1">
      <alignment horizontal="center" vertical="center" wrapText="1"/>
      <protection locked="0"/>
    </xf>
    <xf numFmtId="1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1" xfId="0" applyNumberFormat="1" applyFont="1" applyFill="1" applyBorder="1" applyAlignment="1" applyProtection="1">
      <alignment horizontal="center" vertical="center" wrapText="1"/>
    </xf>
    <xf numFmtId="1" fontId="4" fillId="7" borderId="1" xfId="0" applyNumberFormat="1" applyFont="1" applyFill="1" applyBorder="1" applyAlignment="1" applyProtection="1">
      <alignment horizontal="center" vertical="center" wrapText="1"/>
    </xf>
    <xf numFmtId="0" fontId="6" fillId="0" borderId="0" xfId="2" applyNumberFormat="1" applyFont="1" applyBorder="1" applyAlignment="1" applyProtection="1">
      <alignment horizontal="left" vertical="center" wrapText="1"/>
      <protection locked="0"/>
    </xf>
    <xf numFmtId="0" fontId="6" fillId="0" borderId="0" xfId="2" applyNumberFormat="1" applyFont="1" applyBorder="1" applyAlignment="1" applyProtection="1">
      <alignment horizontal="center" vertical="center"/>
      <protection locked="0"/>
    </xf>
    <xf numFmtId="171" fontId="6" fillId="0" borderId="0" xfId="2" applyNumberFormat="1" applyFont="1" applyBorder="1" applyAlignment="1" applyProtection="1">
      <alignment horizontal="center" vertical="center" wrapText="1"/>
      <protection locked="0"/>
    </xf>
    <xf numFmtId="171" fontId="6" fillId="0" borderId="0" xfId="2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1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 shrinkToFit="1"/>
    </xf>
    <xf numFmtId="0" fontId="6" fillId="7" borderId="1" xfId="0" applyFont="1" applyFill="1" applyBorder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</xf>
    <xf numFmtId="0" fontId="4" fillId="10" borderId="0" xfId="0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10" borderId="0" xfId="0" applyFont="1" applyFill="1" applyBorder="1" applyAlignment="1">
      <alignment vertical="center"/>
    </xf>
    <xf numFmtId="0" fontId="23" fillId="10" borderId="0" xfId="0" applyFont="1" applyFill="1" applyBorder="1" applyAlignment="1">
      <alignment vertical="center"/>
    </xf>
    <xf numFmtId="0" fontId="6" fillId="10" borderId="0" xfId="0" applyFont="1" applyFill="1" applyAlignment="1">
      <alignment vertical="center"/>
    </xf>
    <xf numFmtId="1" fontId="4" fillId="10" borderId="0" xfId="0" applyNumberFormat="1" applyFont="1" applyFill="1" applyAlignment="1">
      <alignment vertical="center"/>
    </xf>
    <xf numFmtId="49" fontId="21" fillId="0" borderId="1" xfId="0" applyNumberFormat="1" applyFont="1" applyBorder="1" applyAlignment="1" applyProtection="1">
      <alignment horizontal="left" vertical="center" wrapText="1"/>
      <protection locked="0"/>
    </xf>
    <xf numFmtId="49" fontId="2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5" fillId="10" borderId="0" xfId="0" applyFont="1" applyFill="1" applyBorder="1" applyAlignment="1">
      <alignment vertical="center"/>
    </xf>
    <xf numFmtId="175" fontId="4" fillId="10" borderId="0" xfId="1" applyNumberFormat="1" applyFont="1" applyFill="1" applyBorder="1" applyAlignment="1" applyProtection="1">
      <alignment vertical="center"/>
    </xf>
    <xf numFmtId="0" fontId="21" fillId="0" borderId="0" xfId="0" applyFont="1" applyAlignment="1">
      <alignment vertical="center"/>
    </xf>
    <xf numFmtId="49" fontId="10" fillId="0" borderId="1" xfId="0" applyNumberFormat="1" applyFont="1" applyBorder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 applyProtection="1">
      <alignment horizontal="left" vertical="center" wrapText="1" shrinkToFit="1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wrapText="1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26" fillId="10" borderId="0" xfId="0" applyFont="1" applyFill="1" applyBorder="1" applyAlignment="1">
      <alignment vertical="center"/>
    </xf>
    <xf numFmtId="1" fontId="6" fillId="1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6" fillId="2" borderId="1" xfId="2" applyNumberFormat="1" applyFont="1" applyFill="1" applyBorder="1" applyAlignment="1" applyProtection="1">
      <alignment horizontal="left" vertical="center" wrapText="1"/>
    </xf>
    <xf numFmtId="0" fontId="4" fillId="7" borderId="1" xfId="0" applyFont="1" applyFill="1" applyBorder="1" applyAlignment="1" applyProtection="1">
      <alignment horizontal="left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171" fontId="6" fillId="0" borderId="0" xfId="0" applyNumberFormat="1" applyFont="1" applyBorder="1" applyAlignment="1" applyProtection="1">
      <alignment horizontal="right" vertical="center" wrapText="1"/>
      <protection locked="0"/>
    </xf>
    <xf numFmtId="171" fontId="4" fillId="2" borderId="0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right" vertical="center" wrapText="1"/>
    </xf>
    <xf numFmtId="171" fontId="6" fillId="2" borderId="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171" fontId="20" fillId="0" borderId="0" xfId="0" applyNumberFormat="1" applyFont="1" applyBorder="1" applyAlignment="1">
      <alignment horizontal="center" vertical="center" wrapText="1"/>
    </xf>
    <xf numFmtId="171" fontId="20" fillId="0" borderId="0" xfId="0" applyNumberFormat="1" applyFont="1" applyBorder="1" applyAlignment="1">
      <alignment horizontal="right" vertical="center" wrapText="1"/>
    </xf>
    <xf numFmtId="171" fontId="20" fillId="2" borderId="0" xfId="0" applyNumberFormat="1" applyFont="1" applyFill="1" applyBorder="1" applyAlignment="1">
      <alignment horizontal="right" vertical="center" wrapText="1"/>
    </xf>
    <xf numFmtId="1" fontId="4" fillId="10" borderId="0" xfId="0" applyNumberFormat="1" applyFont="1" applyFill="1" applyBorder="1" applyAlignment="1">
      <alignment vertical="center"/>
    </xf>
    <xf numFmtId="0" fontId="6" fillId="10" borderId="0" xfId="0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2" applyNumberFormat="1" applyFont="1" applyBorder="1" applyAlignment="1" applyProtection="1">
      <alignment vertical="center" wrapText="1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170" fontId="6" fillId="5" borderId="1" xfId="0" applyNumberFormat="1" applyFont="1" applyFill="1" applyBorder="1" applyAlignment="1" applyProtection="1">
      <alignment horizontal="center" vertical="center" wrapText="1"/>
    </xf>
    <xf numFmtId="2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5" borderId="1" xfId="0" applyNumberFormat="1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76" fontId="6" fillId="0" borderId="1" xfId="0" applyNumberFormat="1" applyFont="1" applyBorder="1" applyAlignment="1" applyProtection="1">
      <alignment horizontal="center" vertical="center" wrapText="1"/>
    </xf>
    <xf numFmtId="1" fontId="17" fillId="0" borderId="1" xfId="0" applyNumberFormat="1" applyFont="1" applyBorder="1" applyAlignment="1" applyProtection="1">
      <alignment horizontal="center" vertical="center" wrapText="1"/>
    </xf>
    <xf numFmtId="171" fontId="6" fillId="0" borderId="1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171" fontId="4" fillId="0" borderId="0" xfId="0" applyNumberFormat="1" applyFont="1" applyBorder="1" applyAlignment="1" applyProtection="1">
      <alignment horizontal="center" vertical="center" wrapText="1"/>
      <protection locked="0"/>
    </xf>
    <xf numFmtId="171" fontId="4" fillId="0" borderId="0" xfId="0" applyNumberFormat="1" applyFont="1" applyBorder="1" applyAlignment="1" applyProtection="1">
      <alignment horizontal="right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0" fontId="31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/>
    </xf>
    <xf numFmtId="10" fontId="0" fillId="0" borderId="0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0" fontId="31" fillId="1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11" borderId="1" xfId="0" applyFont="1" applyFill="1" applyBorder="1" applyAlignment="1">
      <alignment horizontal="left" wrapText="1"/>
    </xf>
    <xf numFmtId="1" fontId="0" fillId="0" borderId="1" xfId="0" applyNumberFormat="1" applyBorder="1"/>
    <xf numFmtId="0" fontId="2" fillId="12" borderId="1" xfId="0" applyFont="1" applyFill="1" applyBorder="1" applyAlignment="1">
      <alignment horizontal="left" vertical="center" wrapText="1"/>
    </xf>
    <xf numFmtId="0" fontId="0" fillId="0" borderId="1" xfId="0" applyBorder="1" applyProtection="1">
      <protection locked="0"/>
    </xf>
    <xf numFmtId="0" fontId="2" fillId="2" borderId="0" xfId="0" applyFont="1" applyFill="1" applyBorder="1" applyAlignment="1">
      <alignment horizontal="left" wrapText="1"/>
    </xf>
    <xf numFmtId="0" fontId="0" fillId="0" borderId="0" xfId="0" applyBorder="1" applyProtection="1"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 applyProtection="1">
      <alignment horizontal="left" vertical="top" wrapText="1"/>
      <protection locked="0"/>
    </xf>
    <xf numFmtId="0" fontId="17" fillId="0" borderId="5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9" fillId="0" borderId="7" xfId="0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4" fillId="0" borderId="1" xfId="2" applyNumberFormat="1" applyFont="1" applyBorder="1" applyAlignment="1" applyProtection="1">
      <alignment horizontal="center" vertical="center" wrapText="1"/>
    </xf>
    <xf numFmtId="171" fontId="6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 shrinkToFit="1"/>
    </xf>
    <xf numFmtId="0" fontId="4" fillId="0" borderId="0" xfId="2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2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2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171" fontId="6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0" xfId="2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0" fontId="6" fillId="7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173" fontId="6" fillId="0" borderId="1" xfId="0" applyNumberFormat="1" applyFont="1" applyBorder="1" applyAlignment="1" applyProtection="1">
      <alignment horizontal="center" vertical="center" wrapText="1"/>
    </xf>
    <xf numFmtId="9" fontId="6" fillId="7" borderId="1" xfId="0" applyNumberFormat="1" applyFont="1" applyFill="1" applyBorder="1" applyAlignment="1" applyProtection="1">
      <alignment horizontal="center" vertical="center" wrapText="1"/>
    </xf>
    <xf numFmtId="173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</xf>
    <xf numFmtId="173" fontId="6" fillId="2" borderId="1" xfId="0" applyNumberFormat="1" applyFont="1" applyFill="1" applyBorder="1" applyAlignment="1" applyProtection="1">
      <alignment horizontal="center" vertical="center" wrapText="1"/>
    </xf>
    <xf numFmtId="173" fontId="6" fillId="2" borderId="1" xfId="0" applyNumberFormat="1" applyFont="1" applyFill="1" applyBorder="1" applyAlignment="1" applyProtection="1">
      <alignment horizontal="right" vertical="center" wrapText="1"/>
    </xf>
    <xf numFmtId="17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justify" vertical="center" wrapText="1" shrinkToFit="1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74" fontId="6" fillId="0" borderId="1" xfId="1" applyNumberFormat="1" applyFont="1" applyBorder="1" applyAlignment="1" applyProtection="1">
      <alignment horizontal="center" vertical="center" wrapText="1"/>
      <protection locked="0"/>
    </xf>
    <xf numFmtId="3" fontId="6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173" fontId="4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</cellXfs>
  <cellStyles count="3">
    <cellStyle name="Обычный" xfId="0" builtinId="0"/>
    <cellStyle name="Пояснение" xfId="2" builtinId="53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D050"/>
      <rgbColor rgb="00808080"/>
      <rgbColor rgb="009999FF"/>
      <rgbColor rgb="00993366"/>
      <rgbColor rgb="00FFFFCC"/>
      <rgbColor rgb="00F7FD9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9A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FinanceUTG/finek2008/&#1043;&#1088;&#1091;&#1076;&#1077;&#1085;&#1100;%20(&#1086;&#1095;&#1080;&#1082;)/DOCUME~1/SINKEV~1/LOCALS~1/Temp/Rar$DI00.781/Dept/FinPlan-Economy/Planning%20System%20Project/consolidation%20hq%20formatt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&#1052;&#1086;&#1080;%20&#1076;&#1086;&#1082;&#1091;&#1084;&#1077;&#1085;&#1090;&#1099;/Plan-2006_kons_rabota/Dept/Plan/Exchange/_________________________Plan_ZP/!_&#1055;&#1077;&#1095;&#1072;&#1090;&#1100;/&#1052;&#1058;&#1056;%20&#1074;&#1089;&#1077;%20-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007&#1053;&#1054;&#1042;/DOCUME~1/Chirich/LOCALS~1/Temp/Dept/Plan/Exchange/_________________________Plan_ZP/!_&#1055;&#1077;&#1095;&#1072;&#1090;&#1100;/&#1052;&#1058;&#1056;%20&#1074;&#1089;&#1077;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work/Dept/Plan/Exchange/_________________________Plan_ZP/!_&#1055;&#1077;&#1095;&#1072;&#1090;&#1100;/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Dept/Plan/Exchange/!_Plan-2006/VAT%20Sevastop/Dept/Plan/Exchange/_________________________Plan_ZP/!_&#1055;&#1077;&#1095;&#1072;&#1090;&#1100;/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DOCUME~1/Chirich/LOCALS~1/Temp/DOCUME~1/VOYTOV~1/LOCALS~1/Temp/Rar$DI00.867/Planning%20System%20Project/consolidation%20hq%20format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DOCUME~1/Chirich/LOCALS~1/Temp/Dept/Plan/Exchange/_________________________Plan_ZP/!_&#1055;&#1077;&#1095;&#1072;&#1090;&#1100;/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&#1052;&#1086;&#1080;%20&#1076;&#1086;&#1082;&#1091;&#1084;&#1077;&#1085;&#1090;&#1099;/Plan-2006_kons_rabota/Dept/FinPlan-Economy/Planning%20System%20Project/consolidation%20hq%20formatt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1/aaaa/2007%20finplan/DOCUME~1/SINKEV~1/LOCALS~1/Temp/Rar$DI00.781/Dept/Plan/Exchange/_________________________Plan_ZP/!_&#1055;&#1077;&#1095;&#1072;&#1090;&#1100;/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FinanceUTG/finek2008/&#1043;&#1088;&#1091;&#1076;&#1077;&#1085;&#1100;%20(&#1086;&#1095;&#1080;&#1082;)/DOCUME~1/SINKEV~1/LOCALS~1/Temp/Rar$DI00.781/Dept/Plan/Exchange/_________________________Plan_ZP/!_&#1055;&#1077;&#1095;&#1072;&#1090;&#1100;/&#1052;&#1058;&#1056;%20&#1074;&#1089;&#1077;%20-%2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main1/DOCUME~1/Chirich/LOCALS~1/Temp/Dept/Plan/Exchange/_________________________Plan_ZP/!_&#1055;&#1077;&#1095;&#1072;&#1090;&#1100;/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Documents%20and%20Settings/andreyevskaya/&#1052;&#1086;&#1080;%20&#1076;&#1086;&#1082;&#1091;&#1084;&#1077;&#1085;&#1090;&#1099;/OLGA/&#1056;&#1045;&#1040;&#1051;&#1048;&#1047;&#1040;&#1062;&#1048;&#1071;_2006/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2007&#1053;&#1054;&#1042;/DOCUME~1/Chirich/LOCALS~1/Temp/DOCUME~1/VOYTOV~1/LOCALS~1/Temp/Rar$DI00.867/Planning%20System%20Project/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work/Dept/FinPlan-Economy/Planning%20System%20Project/consolidation%20hq%20format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MAIN1/Dept/FinPlan-Economy/Planning%20System%20Project/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Documents%20and%20Settings/likhachov/Local%20Settings/Temporary%20Internet%20Files/Content.IE5/RY4RBH0P/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07&#1053;&#1054;&#1042;/Dept/Plan/Exchange/!_Plan-2006/VAT%20Sevastop/Dept/Plan/Exchange/_________________________Plan_ZP/!_&#1055;&#1077;&#1095;&#1072;&#1090;&#1100;/&#1052;&#1058;&#1056;%20&#1074;&#1089;&#1077;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Documents%20and%20Settings/SUDNIKOVA/Local%20Settings/Temporary%20Internet%20Files/Content.IE5/C5MFSXEF/Subv2006/Rich%20Roz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DOCUME~1/Chirich/LOCALS~1/Temp/Rar$DI00.938/Dept/Plan/Exchange/!_Plan-2006/&#1042;&#1040;&#1058;%20&#1048;&#1074;&#1072;&#1085;&#1086;%20&#1092;&#1088;&#1072;&#1085;&#1082;&#1080;&#1074;&#1089;&#1100;&#1082;&#1075;&#1072;&#1079;/Dodatok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Dept/Plan/Exchange/!_Plan-2006/&#1042;&#1040;&#1058;%20&#1048;&#1074;&#1072;&#1085;&#1086;%20&#1092;&#1088;&#1072;&#1085;&#1082;&#1080;&#1074;&#1089;&#1100;&#1082;&#1075;&#1072;&#1079;/Dodatok1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Ariadna/Sum_p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gdp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Inform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199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 "/>
      <sheetName val="Inform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 Інші витрати"/>
      <sheetName val="МТР Газ України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 Інші витрати"/>
      <sheetName val="Ener 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опер_роз"/>
      <sheetName val="МТР Газ України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9"/>
  <sheetViews>
    <sheetView topLeftCell="A10" workbookViewId="0">
      <selection activeCell="F11" sqref="F11"/>
    </sheetView>
  </sheetViews>
  <sheetFormatPr defaultColWidth="9" defaultRowHeight="12.75"/>
  <cols>
    <col min="1" max="1" width="17.5703125" customWidth="1"/>
    <col min="2" max="2" width="16" customWidth="1"/>
    <col min="3" max="3" width="13" customWidth="1"/>
    <col min="4" max="4" width="13.140625" customWidth="1"/>
    <col min="5" max="6" width="12.140625" customWidth="1"/>
    <col min="7" max="1025" width="9" customWidth="1"/>
  </cols>
  <sheetData>
    <row r="5" spans="1:6" ht="25.5" customHeight="1">
      <c r="A5" s="315" t="s">
        <v>0</v>
      </c>
      <c r="B5" s="315"/>
      <c r="C5" s="316" t="s">
        <v>1</v>
      </c>
      <c r="D5" s="316"/>
      <c r="E5" s="297" t="s">
        <v>2</v>
      </c>
      <c r="F5" s="297" t="s">
        <v>3</v>
      </c>
    </row>
    <row r="6" spans="1:6" ht="18.75" customHeight="1">
      <c r="A6" s="298" t="s">
        <v>4</v>
      </c>
      <c r="B6" s="299">
        <v>0.22</v>
      </c>
      <c r="C6" s="300"/>
      <c r="D6" s="301"/>
      <c r="E6" s="302">
        <v>0.18</v>
      </c>
      <c r="F6" s="303">
        <v>1.4999999999999999E-2</v>
      </c>
    </row>
    <row r="7" spans="1:6" ht="25.5" customHeight="1">
      <c r="A7" s="298" t="s">
        <v>5</v>
      </c>
      <c r="B7" s="304">
        <v>8.4099999999999994E-2</v>
      </c>
      <c r="C7" s="300"/>
      <c r="D7" s="305"/>
      <c r="E7" s="305"/>
      <c r="F7" s="305"/>
    </row>
    <row r="8" spans="1:6" ht="72.75" customHeight="1">
      <c r="A8" s="300"/>
      <c r="B8" s="301"/>
      <c r="C8" s="300"/>
      <c r="D8" s="301"/>
      <c r="E8" s="305"/>
      <c r="F8" s="305"/>
    </row>
    <row r="10" spans="1:6" ht="24" customHeight="1">
      <c r="B10" s="5"/>
      <c r="C10" s="306" t="s">
        <v>6</v>
      </c>
      <c r="D10" s="306" t="s">
        <v>7</v>
      </c>
      <c r="E10" s="306" t="s">
        <v>8</v>
      </c>
      <c r="F10" s="306" t="s">
        <v>9</v>
      </c>
    </row>
    <row r="11" spans="1:6" ht="25.5" customHeight="1">
      <c r="B11" s="307" t="s">
        <v>10</v>
      </c>
      <c r="C11" s="308">
        <f>'I. Фін результат'!F147</f>
        <v>1109</v>
      </c>
      <c r="D11" s="308">
        <f>'I. Фін результат'!G147</f>
        <v>2219</v>
      </c>
      <c r="E11" s="308">
        <f>'I. Фін результат'!H147</f>
        <v>3328</v>
      </c>
      <c r="F11" s="308">
        <f>'I. Фін результат'!I147</f>
        <v>4437</v>
      </c>
    </row>
    <row r="12" spans="1:6" ht="26.25" customHeight="1">
      <c r="B12" s="309" t="s">
        <v>11</v>
      </c>
      <c r="C12" s="310">
        <f>ROUND(Лист3!K44/1000,0)</f>
        <v>23</v>
      </c>
      <c r="D12" s="310">
        <f>ROUND(Лист3!L44/1000,0)</f>
        <v>45</v>
      </c>
      <c r="E12" s="310">
        <f>ROUND(Лист3!M44/1000,0)</f>
        <v>68</v>
      </c>
      <c r="F12" s="310">
        <f>ROUND(Лист3!N44/1000,0)</f>
        <v>90</v>
      </c>
    </row>
    <row r="13" spans="1:6" ht="12.75" customHeight="1">
      <c r="B13" s="311"/>
      <c r="C13" s="312"/>
      <c r="D13" s="312"/>
      <c r="E13" s="312"/>
      <c r="F13" s="312"/>
    </row>
    <row r="17" spans="2:6" ht="38.25" customHeight="1">
      <c r="B17" s="313" t="s">
        <v>12</v>
      </c>
      <c r="C17" s="308">
        <f>(C11-C12)*$B$6+C12*$B$7</f>
        <v>240.85429999999999</v>
      </c>
      <c r="D17" s="308">
        <f>(D11-D12)*$B$6+D12*$B$7</f>
        <v>482.06450000000001</v>
      </c>
      <c r="E17" s="308">
        <f>(E11-E12)*$B$6+E12*$B$7</f>
        <v>722.91880000000003</v>
      </c>
      <c r="F17" s="308">
        <f>(F11-F12)*$B$6+F12*$B$7</f>
        <v>963.90899999999999</v>
      </c>
    </row>
    <row r="18" spans="2:6" ht="38.25" customHeight="1">
      <c r="B18" s="314" t="s">
        <v>13</v>
      </c>
      <c r="C18" s="308">
        <f>C11*$E$6</f>
        <v>199.62</v>
      </c>
      <c r="D18" s="308">
        <f>D11*$E$6</f>
        <v>399.41999999999996</v>
      </c>
      <c r="E18" s="308">
        <f>E11*$E$6</f>
        <v>599.04</v>
      </c>
      <c r="F18" s="308">
        <f>F11*$E$6</f>
        <v>798.66</v>
      </c>
    </row>
    <row r="19" spans="2:6" ht="12.75" customHeight="1">
      <c r="B19" s="298" t="s">
        <v>3</v>
      </c>
      <c r="C19" s="308">
        <f>C11*$F$6</f>
        <v>16.634999999999998</v>
      </c>
      <c r="D19" s="308">
        <f>D11*$F$6</f>
        <v>33.284999999999997</v>
      </c>
      <c r="E19" s="308">
        <f>E11*$F$6</f>
        <v>49.92</v>
      </c>
      <c r="F19" s="308">
        <f>F11*$F$6</f>
        <v>66.554999999999993</v>
      </c>
    </row>
  </sheetData>
  <sheetProtection sheet="1" objects="1" scenarios="1"/>
  <mergeCells count="2">
    <mergeCell ref="A5:B5"/>
    <mergeCell ref="C5:D5"/>
  </mergeCells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opLeftCell="A2" zoomScale="80" zoomScaleNormal="80" workbookViewId="0">
      <selection activeCell="N44" sqref="N44"/>
    </sheetView>
  </sheetViews>
  <sheetFormatPr defaultColWidth="9" defaultRowHeight="12.75"/>
  <cols>
    <col min="1" max="1" width="4.140625" customWidth="1"/>
    <col min="2" max="2" width="26.140625" customWidth="1"/>
    <col min="3" max="3" width="9.140625" style="3" customWidth="1"/>
    <col min="4" max="4" width="11.140625" style="3" customWidth="1"/>
    <col min="5" max="5" width="12.42578125" style="3" customWidth="1"/>
    <col min="6" max="6" width="10.42578125" style="3" customWidth="1"/>
    <col min="7" max="7" width="11" style="3" customWidth="1"/>
    <col min="8" max="8" width="13.85546875" style="3" hidden="1" customWidth="1"/>
    <col min="9" max="9" width="11.85546875" style="3" customWidth="1"/>
    <col min="10" max="10" width="8.140625" customWidth="1"/>
    <col min="11" max="11" width="13.7109375" customWidth="1"/>
    <col min="12" max="12" width="13.85546875" customWidth="1"/>
    <col min="13" max="13" width="13.28515625" customWidth="1"/>
    <col min="14" max="14" width="13.85546875" customWidth="1"/>
    <col min="15" max="16" width="9" customWidth="1"/>
    <col min="17" max="17" width="9.85546875" customWidth="1"/>
    <col min="18" max="18" width="10.140625" customWidth="1"/>
    <col min="19" max="19" width="10.42578125" customWidth="1"/>
    <col min="20" max="250" width="9" customWidth="1"/>
    <col min="251" max="1025" width="8.140625" customWidth="1"/>
  </cols>
  <sheetData>
    <row r="1" spans="1:18" ht="12.75" customHeight="1">
      <c r="E1" s="3" t="s">
        <v>631</v>
      </c>
    </row>
    <row r="2" spans="1:18" ht="70.349999999999994" customHeight="1">
      <c r="A2" s="4" t="s">
        <v>632</v>
      </c>
      <c r="B2" s="5" t="s">
        <v>633</v>
      </c>
      <c r="C2" s="6" t="s">
        <v>634</v>
      </c>
      <c r="D2" s="6" t="s">
        <v>635</v>
      </c>
      <c r="E2" s="6" t="s">
        <v>636</v>
      </c>
      <c r="F2" s="7" t="s">
        <v>637</v>
      </c>
      <c r="G2" s="6" t="s">
        <v>638</v>
      </c>
      <c r="H2" s="6" t="s">
        <v>639</v>
      </c>
      <c r="I2" s="6" t="s">
        <v>640</v>
      </c>
      <c r="K2" s="24" t="s">
        <v>641</v>
      </c>
      <c r="L2" s="24" t="s">
        <v>642</v>
      </c>
      <c r="M2" s="24" t="s">
        <v>7</v>
      </c>
      <c r="N2" s="24" t="s">
        <v>642</v>
      </c>
      <c r="O2" s="24" t="s">
        <v>8</v>
      </c>
      <c r="P2" s="24" t="s">
        <v>642</v>
      </c>
      <c r="Q2" s="24" t="s">
        <v>9</v>
      </c>
      <c r="R2" s="24" t="s">
        <v>642</v>
      </c>
    </row>
    <row r="3" spans="1:18" ht="12.75" customHeight="1">
      <c r="A3" s="5"/>
      <c r="B3" s="5"/>
      <c r="C3" s="8"/>
      <c r="D3" s="8"/>
      <c r="E3" s="8"/>
      <c r="F3" s="8"/>
      <c r="G3" s="8"/>
      <c r="H3" s="8"/>
      <c r="I3" s="8"/>
    </row>
    <row r="4" spans="1:18" ht="12.75" customHeight="1">
      <c r="A4" s="5"/>
      <c r="B4" s="5"/>
      <c r="C4" s="8"/>
      <c r="D4" s="8"/>
      <c r="E4" s="8" t="s">
        <v>643</v>
      </c>
      <c r="G4" s="8"/>
      <c r="H4" s="8"/>
      <c r="I4" s="8"/>
    </row>
    <row r="5" spans="1:18" ht="12.75" customHeight="1">
      <c r="A5" s="5">
        <v>1</v>
      </c>
      <c r="B5" s="4" t="s">
        <v>644</v>
      </c>
      <c r="C5" s="8">
        <v>1</v>
      </c>
      <c r="D5" s="9">
        <v>18980</v>
      </c>
      <c r="E5" s="10"/>
      <c r="F5" s="10">
        <f>ROUND(E5%*D5,0)</f>
        <v>0</v>
      </c>
      <c r="G5" s="8">
        <f>(D5+F5)*C5</f>
        <v>18980</v>
      </c>
      <c r="H5" s="8"/>
      <c r="I5" s="8">
        <f>G5*12</f>
        <v>227760</v>
      </c>
      <c r="K5">
        <f>D5*C5*3</f>
        <v>56940</v>
      </c>
      <c r="L5">
        <f>(F5)*3*C5</f>
        <v>0</v>
      </c>
      <c r="M5">
        <f>D5*C5*6</f>
        <v>113880</v>
      </c>
      <c r="N5">
        <f>(F5)*C5*6</f>
        <v>0</v>
      </c>
      <c r="O5">
        <f>D5*C5*9</f>
        <v>170820</v>
      </c>
      <c r="P5">
        <f>(F5)*C5*9</f>
        <v>0</v>
      </c>
      <c r="Q5">
        <f>C5*D5*12</f>
        <v>227760</v>
      </c>
      <c r="R5">
        <f>C5*F5*12</f>
        <v>0</v>
      </c>
    </row>
    <row r="6" spans="1:18" ht="12.75" customHeight="1">
      <c r="A6" s="5">
        <v>2</v>
      </c>
      <c r="B6" s="4" t="s">
        <v>645</v>
      </c>
      <c r="C6" s="8">
        <v>1</v>
      </c>
      <c r="D6" s="9">
        <f>ROUND(D5*95%,0)</f>
        <v>18031</v>
      </c>
      <c r="E6" s="8">
        <v>50</v>
      </c>
      <c r="F6" s="11">
        <f>ROUND(E6%*D6,2)</f>
        <v>9015.5</v>
      </c>
      <c r="G6" s="8">
        <f>(D6+F6)*C6</f>
        <v>27046.5</v>
      </c>
      <c r="H6" s="8"/>
      <c r="I6" s="8">
        <f>G6*12</f>
        <v>324558</v>
      </c>
      <c r="K6">
        <f>D6*C6*3</f>
        <v>54093</v>
      </c>
      <c r="L6" s="25">
        <f>(F6)*3*C6</f>
        <v>27046.5</v>
      </c>
      <c r="M6">
        <f>D6*C6*6</f>
        <v>108186</v>
      </c>
      <c r="N6">
        <f>(F6)*C6*6</f>
        <v>54093</v>
      </c>
      <c r="O6">
        <f>D6*C6*9</f>
        <v>162279</v>
      </c>
      <c r="P6">
        <f>(F6)*C6*9</f>
        <v>81139.5</v>
      </c>
      <c r="Q6">
        <f>C6*D6*12</f>
        <v>216372</v>
      </c>
      <c r="R6">
        <f>C6*F6*12</f>
        <v>108186</v>
      </c>
    </row>
    <row r="7" spans="1:18" ht="12.75" customHeight="1">
      <c r="A7" s="5">
        <v>3</v>
      </c>
      <c r="B7" s="4" t="s">
        <v>645</v>
      </c>
      <c r="C7" s="8">
        <v>1</v>
      </c>
      <c r="D7" s="9">
        <f>ROUND(D5*85%,0)</f>
        <v>16133</v>
      </c>
      <c r="E7" s="8">
        <v>50</v>
      </c>
      <c r="F7" s="11">
        <f>ROUND(E7%*D7,2)</f>
        <v>8066.5</v>
      </c>
      <c r="G7" s="12">
        <f>(D7+F7)*C7</f>
        <v>24199.5</v>
      </c>
      <c r="H7" s="8"/>
      <c r="I7" s="8">
        <f>G7*12</f>
        <v>290394</v>
      </c>
      <c r="K7">
        <f>D7*C7*3</f>
        <v>48399</v>
      </c>
      <c r="L7">
        <f>(F7)*3*C7</f>
        <v>24199.5</v>
      </c>
      <c r="M7">
        <f>D7*C7*6</f>
        <v>96798</v>
      </c>
      <c r="N7">
        <f>(F7)*C7*6</f>
        <v>48399</v>
      </c>
      <c r="O7">
        <f>D7*C7*9</f>
        <v>145197</v>
      </c>
      <c r="P7">
        <f>(F7)*C7*9</f>
        <v>72598.5</v>
      </c>
      <c r="Q7">
        <f>C7*D7*12</f>
        <v>193596</v>
      </c>
      <c r="R7">
        <f>C7*F7*12</f>
        <v>96798</v>
      </c>
    </row>
    <row r="8" spans="1:18" ht="12.75" customHeight="1">
      <c r="A8" s="5">
        <v>4</v>
      </c>
      <c r="B8" s="4" t="s">
        <v>646</v>
      </c>
      <c r="C8" s="8">
        <v>1</v>
      </c>
      <c r="D8" s="13">
        <v>5265</v>
      </c>
      <c r="E8" s="8">
        <v>50</v>
      </c>
      <c r="F8" s="11">
        <f>ROUND(E8%*D8,2)</f>
        <v>2632.5</v>
      </c>
      <c r="G8" s="8">
        <f>(D8+F8)*C8</f>
        <v>7897.5</v>
      </c>
      <c r="H8" s="8"/>
      <c r="I8" s="8">
        <f>G8*12</f>
        <v>94770</v>
      </c>
      <c r="K8">
        <f>D8*C8*3</f>
        <v>15795</v>
      </c>
      <c r="L8">
        <f>(F8)*3*C8</f>
        <v>7897.5</v>
      </c>
      <c r="M8">
        <f>D8*C8*6</f>
        <v>31590</v>
      </c>
      <c r="N8">
        <f>(F8)*C8*6</f>
        <v>15795</v>
      </c>
      <c r="O8">
        <f>D8*C8*9</f>
        <v>47385</v>
      </c>
      <c r="P8">
        <f>(F8)*C8*9</f>
        <v>23692.5</v>
      </c>
      <c r="Q8">
        <f>C8*D8*12</f>
        <v>63180</v>
      </c>
      <c r="R8">
        <f>C8*F8*12</f>
        <v>31590</v>
      </c>
    </row>
    <row r="9" spans="1:18" ht="25.5" customHeight="1">
      <c r="A9" s="5"/>
      <c r="B9" s="14" t="s">
        <v>647</v>
      </c>
      <c r="C9" s="8"/>
      <c r="D9" s="8"/>
      <c r="E9" s="8"/>
      <c r="F9" s="8"/>
      <c r="G9" s="8"/>
      <c r="H9" s="8"/>
      <c r="I9" s="8"/>
    </row>
    <row r="10" spans="1:18" ht="12.75" customHeight="1">
      <c r="A10" s="5">
        <v>6</v>
      </c>
      <c r="B10" s="4" t="s">
        <v>648</v>
      </c>
      <c r="C10" s="8">
        <v>1</v>
      </c>
      <c r="D10" s="8">
        <v>16133</v>
      </c>
      <c r="E10" s="8">
        <v>50</v>
      </c>
      <c r="F10" s="11">
        <f>ROUND(E10%*D10,2)</f>
        <v>8066.5</v>
      </c>
      <c r="G10" s="8">
        <f>(D10+F10)*C10</f>
        <v>24199.5</v>
      </c>
      <c r="H10" s="8"/>
      <c r="I10" s="8">
        <f>G10*12</f>
        <v>290394</v>
      </c>
      <c r="K10">
        <f>D10*C10*3</f>
        <v>48399</v>
      </c>
      <c r="L10">
        <f>(F10)*3*C10</f>
        <v>24199.5</v>
      </c>
      <c r="M10">
        <f>D10*C10*6</f>
        <v>96798</v>
      </c>
      <c r="N10">
        <f>(F10)*C10*6</f>
        <v>48399</v>
      </c>
      <c r="O10">
        <f>D10*C10*9</f>
        <v>145197</v>
      </c>
      <c r="P10">
        <f>(F10)*C10*9</f>
        <v>72598.5</v>
      </c>
      <c r="Q10">
        <f>C10*D10*12</f>
        <v>193596</v>
      </c>
      <c r="R10">
        <f>C10*F10*12</f>
        <v>96798</v>
      </c>
    </row>
    <row r="11" spans="1:18" ht="12.75" customHeight="1">
      <c r="A11" s="5">
        <v>7</v>
      </c>
      <c r="B11" s="4" t="s">
        <v>649</v>
      </c>
      <c r="C11" s="8">
        <v>1</v>
      </c>
      <c r="D11" s="8">
        <v>5005</v>
      </c>
      <c r="E11" s="8">
        <v>50</v>
      </c>
      <c r="F11" s="11">
        <f>ROUND(E11%*D11,2)</f>
        <v>2502.5</v>
      </c>
      <c r="G11" s="8">
        <f>(D11+F11)*C11</f>
        <v>7507.5</v>
      </c>
      <c r="H11" s="8"/>
      <c r="I11" s="8">
        <f>G11*12</f>
        <v>90090</v>
      </c>
      <c r="K11">
        <f>D11*C11*3</f>
        <v>15015</v>
      </c>
      <c r="L11">
        <f>(F11)*3*C11</f>
        <v>7507.5</v>
      </c>
      <c r="M11">
        <f>D11*C11*6</f>
        <v>30030</v>
      </c>
      <c r="N11">
        <f>(F11)*C11*6</f>
        <v>15015</v>
      </c>
      <c r="O11">
        <f>D11*C11*9</f>
        <v>45045</v>
      </c>
      <c r="P11">
        <f>(F11)*C11*9</f>
        <v>22522.5</v>
      </c>
      <c r="Q11">
        <f>C11*D11*12</f>
        <v>60060</v>
      </c>
      <c r="R11">
        <f>C11*F11*12</f>
        <v>30030</v>
      </c>
    </row>
    <row r="12" spans="1:18" ht="12.75" customHeight="1">
      <c r="A12" s="5">
        <v>8</v>
      </c>
      <c r="B12" s="4" t="s">
        <v>650</v>
      </c>
      <c r="C12" s="8">
        <v>1</v>
      </c>
      <c r="D12" s="8">
        <v>5005</v>
      </c>
      <c r="E12" s="8">
        <v>50</v>
      </c>
      <c r="F12" s="11">
        <f>ROUND(E12%*D12,2)</f>
        <v>2502.5</v>
      </c>
      <c r="G12" s="8">
        <f>(D12+F12)*C12</f>
        <v>7507.5</v>
      </c>
      <c r="H12" s="8"/>
      <c r="I12" s="8">
        <f>G12*12</f>
        <v>90090</v>
      </c>
      <c r="K12">
        <f>D12*C12*3</f>
        <v>15015</v>
      </c>
      <c r="L12">
        <f>(F12)*3*C12</f>
        <v>7507.5</v>
      </c>
      <c r="M12">
        <f>D12*C12*6</f>
        <v>30030</v>
      </c>
      <c r="N12">
        <f>(F12)*C12*6</f>
        <v>15015</v>
      </c>
      <c r="O12">
        <f>D12*C12*9</f>
        <v>45045</v>
      </c>
      <c r="P12">
        <f>(F12)*C12*9</f>
        <v>22522.5</v>
      </c>
      <c r="Q12">
        <f>C12*D12*12</f>
        <v>60060</v>
      </c>
      <c r="R12">
        <f>C12*F12*12</f>
        <v>30030</v>
      </c>
    </row>
    <row r="13" spans="1:18" s="1" customFormat="1" ht="25.5" customHeight="1">
      <c r="A13" s="15"/>
      <c r="B13" s="16" t="s">
        <v>651</v>
      </c>
      <c r="C13" s="10"/>
      <c r="D13" s="10"/>
      <c r="E13" s="10"/>
      <c r="F13" s="10"/>
      <c r="G13" s="10"/>
      <c r="H13" s="10"/>
      <c r="I13" s="8"/>
    </row>
    <row r="14" spans="1:18" s="1" customFormat="1" ht="38.25" customHeight="1">
      <c r="A14" s="15">
        <v>9</v>
      </c>
      <c r="B14" s="17" t="s">
        <v>652</v>
      </c>
      <c r="C14" s="10">
        <v>1</v>
      </c>
      <c r="D14" s="10">
        <v>5265</v>
      </c>
      <c r="E14" s="10">
        <v>50</v>
      </c>
      <c r="F14" s="11">
        <f>ROUND(E14%*D14,2)</f>
        <v>2632.5</v>
      </c>
      <c r="G14" s="8">
        <f>(D14+F14)*C14</f>
        <v>7897.5</v>
      </c>
      <c r="H14" s="8"/>
      <c r="I14" s="8">
        <f>G14*12</f>
        <v>94770</v>
      </c>
      <c r="K14" s="1">
        <f>D14*C14*3</f>
        <v>15795</v>
      </c>
      <c r="L14" s="1">
        <f>(F14)*3*C14</f>
        <v>7897.5</v>
      </c>
      <c r="M14" s="1">
        <f>D14*C14*6</f>
        <v>31590</v>
      </c>
      <c r="N14" s="1">
        <f>(F14)*C14*6</f>
        <v>15795</v>
      </c>
      <c r="O14" s="1">
        <f>D14*C14*9</f>
        <v>47385</v>
      </c>
      <c r="P14" s="1">
        <f>(F14)*C14*9</f>
        <v>23692.5</v>
      </c>
      <c r="Q14" s="1">
        <f>C14*D14*12</f>
        <v>63180</v>
      </c>
      <c r="R14" s="1">
        <f>C14*F14*12</f>
        <v>31590</v>
      </c>
    </row>
    <row r="15" spans="1:18" s="1" customFormat="1" ht="12.75" customHeight="1">
      <c r="A15" s="15">
        <v>10</v>
      </c>
      <c r="B15" s="17" t="s">
        <v>653</v>
      </c>
      <c r="C15" s="10">
        <v>2</v>
      </c>
      <c r="D15" s="10">
        <v>5005</v>
      </c>
      <c r="E15" s="10">
        <v>50</v>
      </c>
      <c r="F15" s="11">
        <f>ROUND(E15%*D15,2)</f>
        <v>2502.5</v>
      </c>
      <c r="G15" s="8">
        <f>(D15+F15)*C15</f>
        <v>15015</v>
      </c>
      <c r="H15" s="8"/>
      <c r="I15" s="8">
        <f>G15*12</f>
        <v>180180</v>
      </c>
      <c r="K15" s="1">
        <f>D15*C15*3</f>
        <v>30030</v>
      </c>
      <c r="L15" s="1">
        <f>(F15)*3*C15</f>
        <v>15015</v>
      </c>
      <c r="M15" s="1">
        <f>D15*C15*6</f>
        <v>60060</v>
      </c>
      <c r="N15" s="1">
        <f>(F15)*C15*6</f>
        <v>30030</v>
      </c>
      <c r="O15" s="1">
        <f>D15*C15*9</f>
        <v>90090</v>
      </c>
      <c r="P15" s="1">
        <f>(F15)*C15*9</f>
        <v>45045</v>
      </c>
      <c r="Q15" s="1">
        <f>C15*D15*12</f>
        <v>120120</v>
      </c>
      <c r="R15" s="1">
        <f>C15*F15*12</f>
        <v>60060</v>
      </c>
    </row>
    <row r="16" spans="1:18" s="1" customFormat="1" ht="12.75" customHeight="1">
      <c r="A16" s="15">
        <v>11</v>
      </c>
      <c r="B16" s="17" t="s">
        <v>654</v>
      </c>
      <c r="C16" s="10">
        <v>3</v>
      </c>
      <c r="D16" s="10">
        <v>5005</v>
      </c>
      <c r="E16" s="10">
        <v>50</v>
      </c>
      <c r="F16" s="11">
        <f>ROUND(E16%*D16,2)</f>
        <v>2502.5</v>
      </c>
      <c r="G16" s="8">
        <f>(D16+F16)*C16</f>
        <v>22522.5</v>
      </c>
      <c r="H16" s="8"/>
      <c r="I16" s="8">
        <f>G16*12</f>
        <v>270270</v>
      </c>
      <c r="K16" s="1">
        <f>D16*C16*3</f>
        <v>45045</v>
      </c>
      <c r="L16" s="1">
        <f>(F16)*3*C16</f>
        <v>22522.5</v>
      </c>
      <c r="M16" s="1">
        <f>D16*C16*6</f>
        <v>90090</v>
      </c>
      <c r="N16" s="1">
        <f>(F16)*C16*6</f>
        <v>45045</v>
      </c>
      <c r="O16" s="1">
        <f>D16*C16*9</f>
        <v>135135</v>
      </c>
      <c r="P16" s="1">
        <f>(F16)*C16*9</f>
        <v>67567.5</v>
      </c>
      <c r="Q16" s="1">
        <f>C16*D16*12</f>
        <v>180180</v>
      </c>
      <c r="R16" s="1">
        <f>C16*F16*12</f>
        <v>90090</v>
      </c>
    </row>
    <row r="17" spans="1:19" s="1" customFormat="1" ht="12.75" customHeight="1">
      <c r="A17" s="15"/>
      <c r="B17" s="16" t="s">
        <v>655</v>
      </c>
      <c r="C17" s="10"/>
      <c r="D17" s="10"/>
      <c r="E17" s="10"/>
      <c r="F17" s="8"/>
      <c r="G17" s="8"/>
      <c r="H17" s="8"/>
      <c r="I17" s="8"/>
    </row>
    <row r="18" spans="1:19" s="1" customFormat="1" ht="25.5" customHeight="1">
      <c r="A18" s="15">
        <v>12</v>
      </c>
      <c r="B18" s="17" t="s">
        <v>656</v>
      </c>
      <c r="C18" s="10">
        <v>1</v>
      </c>
      <c r="D18" s="10">
        <v>5265</v>
      </c>
      <c r="E18" s="10">
        <v>50</v>
      </c>
      <c r="F18" s="11">
        <f>ROUND(E18%*D18,2)</f>
        <v>2632.5</v>
      </c>
      <c r="G18" s="8">
        <f>(D18+F18)*C18</f>
        <v>7897.5</v>
      </c>
      <c r="H18" s="8"/>
      <c r="I18" s="8">
        <f>G18*12</f>
        <v>94770</v>
      </c>
      <c r="K18" s="1">
        <f>D18*C18*3</f>
        <v>15795</v>
      </c>
      <c r="L18" s="1">
        <f>(F18)*3*C18</f>
        <v>7897.5</v>
      </c>
      <c r="M18" s="1">
        <f>D18*C18*6</f>
        <v>31590</v>
      </c>
      <c r="N18" s="1">
        <f>(F18)*C18*6</f>
        <v>15795</v>
      </c>
      <c r="O18" s="1">
        <f>D18*C18*9</f>
        <v>47385</v>
      </c>
      <c r="P18" s="1">
        <f>(F18)*C18*9</f>
        <v>23692.5</v>
      </c>
      <c r="Q18" s="1">
        <f>C18*D18*12</f>
        <v>63180</v>
      </c>
      <c r="R18" s="1">
        <f>C18*F18*12</f>
        <v>31590</v>
      </c>
    </row>
    <row r="19" spans="1:19" s="1" customFormat="1" ht="12.75" customHeight="1">
      <c r="A19" s="15">
        <v>13</v>
      </c>
      <c r="B19" s="18" t="s">
        <v>654</v>
      </c>
      <c r="C19" s="10">
        <v>2</v>
      </c>
      <c r="D19" s="10">
        <v>5005</v>
      </c>
      <c r="E19" s="10">
        <v>50</v>
      </c>
      <c r="F19" s="11">
        <f>ROUND(E19%*D19,2)</f>
        <v>2502.5</v>
      </c>
      <c r="G19" s="8">
        <f>(D19+F19)*C19</f>
        <v>15015</v>
      </c>
      <c r="H19" s="8"/>
      <c r="I19" s="8">
        <f>G19*12</f>
        <v>180180</v>
      </c>
      <c r="K19" s="26">
        <f>D19*C19*3</f>
        <v>30030</v>
      </c>
      <c r="L19" s="26">
        <f>(F19)*3*C19</f>
        <v>15015</v>
      </c>
      <c r="M19" s="26">
        <f>D19*C19*6</f>
        <v>60060</v>
      </c>
      <c r="N19" s="26">
        <f>(F19)*C19*6</f>
        <v>30030</v>
      </c>
      <c r="O19" s="26">
        <f>D19*C19*9</f>
        <v>90090</v>
      </c>
      <c r="P19" s="26">
        <f>(F19)*C19*9</f>
        <v>45045</v>
      </c>
      <c r="Q19" s="1">
        <f>C19*D19*12</f>
        <v>120120</v>
      </c>
      <c r="R19" s="1">
        <f>C19*F19*12</f>
        <v>60060</v>
      </c>
      <c r="S19" s="1" t="s">
        <v>657</v>
      </c>
    </row>
    <row r="20" spans="1:19" s="1" customFormat="1" ht="12.75" customHeight="1">
      <c r="A20" s="15">
        <v>14</v>
      </c>
      <c r="B20" s="19" t="s">
        <v>658</v>
      </c>
      <c r="C20" s="10">
        <v>2</v>
      </c>
      <c r="D20" s="10">
        <v>4745</v>
      </c>
      <c r="E20" s="10">
        <v>50</v>
      </c>
      <c r="F20" s="11">
        <f>ROUND(E20%*D20,2)</f>
        <v>2372.5</v>
      </c>
      <c r="G20" s="8">
        <f>(D20+F20)*C20</f>
        <v>14235</v>
      </c>
      <c r="H20" s="8"/>
      <c r="I20" s="8">
        <f>G20*12</f>
        <v>170820</v>
      </c>
      <c r="K20" s="26">
        <f>D20*C20*3</f>
        <v>28470</v>
      </c>
      <c r="L20" s="26">
        <f>(F20)*3*C20</f>
        <v>14235</v>
      </c>
      <c r="M20" s="26">
        <f>D20*C20*6</f>
        <v>56940</v>
      </c>
      <c r="N20" s="26">
        <f>(F20)*C20*6</f>
        <v>28470</v>
      </c>
      <c r="O20" s="26">
        <f>D20*C20*9</f>
        <v>85410</v>
      </c>
      <c r="P20" s="26">
        <f>(F20)*C20*9</f>
        <v>42705</v>
      </c>
      <c r="Q20" s="1">
        <f>C20*D20*12</f>
        <v>113880</v>
      </c>
      <c r="R20" s="1">
        <f>C20*F20*12</f>
        <v>56940</v>
      </c>
      <c r="S20" s="1" t="s">
        <v>657</v>
      </c>
    </row>
    <row r="21" spans="1:19" s="1" customFormat="1" ht="38.25" customHeight="1">
      <c r="A21" s="15"/>
      <c r="B21" s="16" t="s">
        <v>659</v>
      </c>
      <c r="C21" s="10"/>
      <c r="D21" s="10"/>
      <c r="E21" s="10"/>
      <c r="F21" s="8"/>
      <c r="G21" s="8"/>
      <c r="H21" s="8"/>
      <c r="I21" s="8"/>
    </row>
    <row r="22" spans="1:19" s="2" customFormat="1" ht="12.75" customHeight="1">
      <c r="A22" s="20">
        <v>15</v>
      </c>
      <c r="B22" s="21" t="s">
        <v>660</v>
      </c>
      <c r="C22" s="22">
        <v>1</v>
      </c>
      <c r="D22" s="22">
        <v>5265</v>
      </c>
      <c r="E22" s="22">
        <v>50</v>
      </c>
      <c r="F22" s="22">
        <f t="shared" ref="F22:F29" si="0">ROUND(E22%*D22,2)</f>
        <v>2632.5</v>
      </c>
      <c r="G22" s="22">
        <f t="shared" ref="G22:G29" si="1">(D22+F22)*C22</f>
        <v>7897.5</v>
      </c>
      <c r="H22" s="22"/>
      <c r="I22" s="22">
        <f t="shared" ref="I22:I29" si="2">G22*12</f>
        <v>94770</v>
      </c>
      <c r="K22" s="2">
        <f t="shared" ref="K22:K29" si="3">D22*C22*3</f>
        <v>15795</v>
      </c>
      <c r="L22" s="2">
        <f t="shared" ref="L22:L29" si="4">(F22)*3*C22</f>
        <v>7897.5</v>
      </c>
      <c r="M22" s="2">
        <f t="shared" ref="M22:M29" si="5">D22*C22*6</f>
        <v>31590</v>
      </c>
      <c r="N22" s="2">
        <f t="shared" ref="N22:N29" si="6">(F22)*C22*6</f>
        <v>15795</v>
      </c>
      <c r="O22" s="2">
        <f t="shared" ref="O22:O29" si="7">D22*C22*9</f>
        <v>47385</v>
      </c>
      <c r="P22" s="2">
        <f t="shared" ref="P22:P29" si="8">(F22)*C22*9</f>
        <v>23692.5</v>
      </c>
      <c r="Q22" s="2">
        <f t="shared" ref="Q22:Q29" si="9">C22*D22*12</f>
        <v>63180</v>
      </c>
      <c r="R22" s="2">
        <f t="shared" ref="R22:R29" si="10">C22*F22*12</f>
        <v>31590</v>
      </c>
    </row>
    <row r="23" spans="1:19" s="2" customFormat="1" ht="39" customHeight="1">
      <c r="A23" s="20">
        <v>16</v>
      </c>
      <c r="B23" s="21" t="s">
        <v>661</v>
      </c>
      <c r="C23" s="22">
        <v>1</v>
      </c>
      <c r="D23" s="22">
        <v>5265</v>
      </c>
      <c r="E23" s="22">
        <v>50</v>
      </c>
      <c r="F23" s="22">
        <f t="shared" si="0"/>
        <v>2632.5</v>
      </c>
      <c r="G23" s="22">
        <f t="shared" si="1"/>
        <v>7897.5</v>
      </c>
      <c r="H23" s="22"/>
      <c r="I23" s="22">
        <f t="shared" si="2"/>
        <v>94770</v>
      </c>
      <c r="K23" s="2">
        <f t="shared" si="3"/>
        <v>15795</v>
      </c>
      <c r="L23" s="2">
        <f t="shared" si="4"/>
        <v>7897.5</v>
      </c>
      <c r="M23" s="2">
        <f t="shared" si="5"/>
        <v>31590</v>
      </c>
      <c r="N23" s="2">
        <f t="shared" si="6"/>
        <v>15795</v>
      </c>
      <c r="O23" s="2">
        <f t="shared" si="7"/>
        <v>47385</v>
      </c>
      <c r="P23" s="2">
        <f t="shared" si="8"/>
        <v>23692.5</v>
      </c>
      <c r="Q23" s="2">
        <f t="shared" si="9"/>
        <v>63180</v>
      </c>
      <c r="R23" s="2">
        <f t="shared" si="10"/>
        <v>31590</v>
      </c>
    </row>
    <row r="24" spans="1:19" s="2" customFormat="1" ht="38.25" customHeight="1">
      <c r="A24" s="20">
        <v>17</v>
      </c>
      <c r="B24" s="21" t="s">
        <v>662</v>
      </c>
      <c r="C24" s="22">
        <v>1</v>
      </c>
      <c r="D24" s="22">
        <v>5265</v>
      </c>
      <c r="E24" s="22">
        <v>50</v>
      </c>
      <c r="F24" s="22">
        <f t="shared" si="0"/>
        <v>2632.5</v>
      </c>
      <c r="G24" s="22">
        <f t="shared" si="1"/>
        <v>7897.5</v>
      </c>
      <c r="H24" s="22"/>
      <c r="I24" s="22">
        <f t="shared" si="2"/>
        <v>94770</v>
      </c>
      <c r="K24" s="2">
        <f t="shared" si="3"/>
        <v>15795</v>
      </c>
      <c r="L24" s="2">
        <f t="shared" si="4"/>
        <v>7897.5</v>
      </c>
      <c r="M24" s="2">
        <f t="shared" si="5"/>
        <v>31590</v>
      </c>
      <c r="N24" s="2">
        <f t="shared" si="6"/>
        <v>15795</v>
      </c>
      <c r="O24" s="2">
        <f t="shared" si="7"/>
        <v>47385</v>
      </c>
      <c r="P24" s="2">
        <f t="shared" si="8"/>
        <v>23692.5</v>
      </c>
      <c r="Q24" s="2">
        <f t="shared" si="9"/>
        <v>63180</v>
      </c>
      <c r="R24" s="2">
        <f t="shared" si="10"/>
        <v>31590</v>
      </c>
    </row>
    <row r="25" spans="1:19" s="2" customFormat="1" ht="38.25" customHeight="1">
      <c r="A25" s="20">
        <v>18</v>
      </c>
      <c r="B25" s="21" t="s">
        <v>663</v>
      </c>
      <c r="C25" s="22">
        <v>4</v>
      </c>
      <c r="D25" s="22">
        <v>5265</v>
      </c>
      <c r="E25" s="22">
        <v>50</v>
      </c>
      <c r="F25" s="22">
        <f t="shared" si="0"/>
        <v>2632.5</v>
      </c>
      <c r="G25" s="22">
        <f t="shared" si="1"/>
        <v>31590</v>
      </c>
      <c r="H25" s="22"/>
      <c r="I25" s="22">
        <f t="shared" si="2"/>
        <v>379080</v>
      </c>
      <c r="K25" s="2">
        <f t="shared" si="3"/>
        <v>63180</v>
      </c>
      <c r="L25" s="2">
        <f t="shared" si="4"/>
        <v>31590</v>
      </c>
      <c r="M25" s="2">
        <f t="shared" si="5"/>
        <v>126360</v>
      </c>
      <c r="N25" s="2">
        <f t="shared" si="6"/>
        <v>63180</v>
      </c>
      <c r="O25" s="2">
        <f t="shared" si="7"/>
        <v>189540</v>
      </c>
      <c r="P25" s="2">
        <f t="shared" si="8"/>
        <v>94770</v>
      </c>
      <c r="Q25" s="2">
        <f t="shared" si="9"/>
        <v>252720</v>
      </c>
      <c r="R25" s="2">
        <f t="shared" si="10"/>
        <v>126360</v>
      </c>
    </row>
    <row r="26" spans="1:19" s="2" customFormat="1" ht="12.75" customHeight="1">
      <c r="A26" s="20">
        <v>19</v>
      </c>
      <c r="B26" s="23" t="s">
        <v>654</v>
      </c>
      <c r="C26" s="22">
        <v>10</v>
      </c>
      <c r="D26" s="22">
        <v>5005</v>
      </c>
      <c r="E26" s="22">
        <v>50</v>
      </c>
      <c r="F26" s="22">
        <f t="shared" si="0"/>
        <v>2502.5</v>
      </c>
      <c r="G26" s="22">
        <f t="shared" si="1"/>
        <v>75075</v>
      </c>
      <c r="H26" s="22"/>
      <c r="I26" s="22">
        <f t="shared" si="2"/>
        <v>900900</v>
      </c>
      <c r="K26" s="2">
        <f t="shared" si="3"/>
        <v>150150</v>
      </c>
      <c r="L26" s="2">
        <f t="shared" si="4"/>
        <v>75075</v>
      </c>
      <c r="M26" s="2">
        <f t="shared" si="5"/>
        <v>300300</v>
      </c>
      <c r="N26" s="2">
        <f t="shared" si="6"/>
        <v>150150</v>
      </c>
      <c r="O26" s="2">
        <f t="shared" si="7"/>
        <v>450450</v>
      </c>
      <c r="P26" s="2">
        <f t="shared" si="8"/>
        <v>225225</v>
      </c>
      <c r="Q26" s="2">
        <f t="shared" si="9"/>
        <v>600600</v>
      </c>
      <c r="R26" s="2">
        <f t="shared" si="10"/>
        <v>300300</v>
      </c>
    </row>
    <row r="27" spans="1:19" s="2" customFormat="1" ht="38.25" customHeight="1">
      <c r="A27" s="20">
        <v>20</v>
      </c>
      <c r="B27" s="21" t="s">
        <v>664</v>
      </c>
      <c r="C27" s="22">
        <v>2</v>
      </c>
      <c r="D27" s="22">
        <v>5265</v>
      </c>
      <c r="E27" s="22">
        <v>50</v>
      </c>
      <c r="F27" s="22">
        <f t="shared" si="0"/>
        <v>2632.5</v>
      </c>
      <c r="G27" s="22">
        <f t="shared" si="1"/>
        <v>15795</v>
      </c>
      <c r="H27" s="22"/>
      <c r="I27" s="22">
        <f t="shared" si="2"/>
        <v>189540</v>
      </c>
      <c r="K27" s="2">
        <f t="shared" si="3"/>
        <v>31590</v>
      </c>
      <c r="L27" s="2">
        <f t="shared" si="4"/>
        <v>15795</v>
      </c>
      <c r="M27" s="2">
        <f t="shared" si="5"/>
        <v>63180</v>
      </c>
      <c r="N27" s="2">
        <f t="shared" si="6"/>
        <v>31590</v>
      </c>
      <c r="O27" s="2">
        <f t="shared" si="7"/>
        <v>94770</v>
      </c>
      <c r="P27" s="2">
        <f t="shared" si="8"/>
        <v>47385</v>
      </c>
      <c r="Q27" s="2">
        <f t="shared" si="9"/>
        <v>126360</v>
      </c>
      <c r="R27" s="2">
        <f t="shared" si="10"/>
        <v>63180</v>
      </c>
    </row>
    <row r="28" spans="1:19" s="2" customFormat="1" ht="12.75" customHeight="1">
      <c r="A28" s="20">
        <v>21</v>
      </c>
      <c r="B28" s="21" t="s">
        <v>665</v>
      </c>
      <c r="C28" s="22">
        <v>2</v>
      </c>
      <c r="D28" s="22">
        <v>5265</v>
      </c>
      <c r="E28" s="22">
        <v>50</v>
      </c>
      <c r="F28" s="22">
        <f t="shared" si="0"/>
        <v>2632.5</v>
      </c>
      <c r="G28" s="22">
        <f t="shared" si="1"/>
        <v>15795</v>
      </c>
      <c r="H28" s="22"/>
      <c r="I28" s="22">
        <f t="shared" si="2"/>
        <v>189540</v>
      </c>
      <c r="K28" s="2">
        <f t="shared" si="3"/>
        <v>31590</v>
      </c>
      <c r="L28" s="2">
        <f t="shared" si="4"/>
        <v>15795</v>
      </c>
      <c r="M28" s="2">
        <f t="shared" si="5"/>
        <v>63180</v>
      </c>
      <c r="N28" s="2">
        <f t="shared" si="6"/>
        <v>31590</v>
      </c>
      <c r="O28" s="2">
        <f t="shared" si="7"/>
        <v>94770</v>
      </c>
      <c r="P28" s="2">
        <f t="shared" si="8"/>
        <v>47385</v>
      </c>
      <c r="Q28" s="2">
        <f t="shared" si="9"/>
        <v>126360</v>
      </c>
      <c r="R28" s="2">
        <f t="shared" si="10"/>
        <v>63180</v>
      </c>
    </row>
    <row r="29" spans="1:19" s="2" customFormat="1" ht="12.75" customHeight="1">
      <c r="A29" s="20">
        <v>23</v>
      </c>
      <c r="B29" s="21" t="s">
        <v>666</v>
      </c>
      <c r="C29" s="22">
        <v>1</v>
      </c>
      <c r="D29" s="22">
        <v>5265</v>
      </c>
      <c r="E29" s="22">
        <v>50</v>
      </c>
      <c r="F29" s="22">
        <f t="shared" si="0"/>
        <v>2632.5</v>
      </c>
      <c r="G29" s="22">
        <f t="shared" si="1"/>
        <v>7897.5</v>
      </c>
      <c r="H29" s="22"/>
      <c r="I29" s="22">
        <f t="shared" si="2"/>
        <v>94770</v>
      </c>
      <c r="K29" s="2">
        <f t="shared" si="3"/>
        <v>15795</v>
      </c>
      <c r="L29" s="2">
        <f t="shared" si="4"/>
        <v>7897.5</v>
      </c>
      <c r="M29" s="2">
        <f t="shared" si="5"/>
        <v>31590</v>
      </c>
      <c r="N29" s="2">
        <f t="shared" si="6"/>
        <v>15795</v>
      </c>
      <c r="O29" s="2">
        <f t="shared" si="7"/>
        <v>47385</v>
      </c>
      <c r="P29" s="2">
        <f t="shared" si="8"/>
        <v>23692.5</v>
      </c>
      <c r="Q29" s="2">
        <f t="shared" si="9"/>
        <v>63180</v>
      </c>
      <c r="R29" s="2">
        <f t="shared" si="10"/>
        <v>31590</v>
      </c>
    </row>
    <row r="30" spans="1:19" ht="12.75" customHeight="1">
      <c r="A30" s="5"/>
      <c r="B30" s="5" t="s">
        <v>667</v>
      </c>
      <c r="C30" s="8">
        <f>SUM(C5:C29)</f>
        <v>40</v>
      </c>
      <c r="D30" s="8"/>
      <c r="E30" s="8"/>
      <c r="F30" s="8"/>
      <c r="G30" s="8">
        <f>SUM(G5:G29)</f>
        <v>369765.5</v>
      </c>
      <c r="H30" s="8"/>
      <c r="I30" s="8">
        <f>SUM(I5:I29)</f>
        <v>4437186</v>
      </c>
      <c r="K30" s="404">
        <f>SUM(K5:L29)</f>
        <v>1109296.5</v>
      </c>
      <c r="L30" s="404"/>
      <c r="M30" s="404">
        <f>SUM(M5:N29)</f>
        <v>2218593</v>
      </c>
      <c r="N30" s="404"/>
      <c r="O30" s="404">
        <f>SUM(O5:P29)</f>
        <v>3327889.5</v>
      </c>
      <c r="P30" s="404"/>
      <c r="Q30" s="404">
        <f>SUM(Q5:R29)</f>
        <v>4437186</v>
      </c>
      <c r="R30" s="404"/>
    </row>
    <row r="34" spans="10:19" ht="12.75" customHeight="1">
      <c r="K34" t="s">
        <v>668</v>
      </c>
      <c r="L34" t="s">
        <v>669</v>
      </c>
      <c r="M34" t="s">
        <v>670</v>
      </c>
      <c r="N34" t="s">
        <v>9</v>
      </c>
    </row>
    <row r="35" spans="10:19" ht="12.75" customHeight="1">
      <c r="J35" t="s">
        <v>671</v>
      </c>
      <c r="K35" s="27">
        <f>SUM(K19:L20)/2</f>
        <v>43875</v>
      </c>
      <c r="L35" s="27">
        <f>SUM(M19:N20)/2</f>
        <v>87750</v>
      </c>
      <c r="M35" s="27">
        <f>SUM(O19:P20)/2</f>
        <v>131625</v>
      </c>
      <c r="N35" s="27">
        <f>SUM(Q19:R20)/2</f>
        <v>175500</v>
      </c>
    </row>
    <row r="36" spans="10:19" ht="12.75" customHeight="1">
      <c r="J36" t="s">
        <v>672</v>
      </c>
      <c r="K36" s="27">
        <f>ROUND(K35*22%,2)</f>
        <v>9652.5</v>
      </c>
      <c r="L36" s="27">
        <f>ROUND(L35*22%,2)</f>
        <v>19305</v>
      </c>
      <c r="M36" s="27">
        <f>ROUND(M35*22%,2)</f>
        <v>28957.5</v>
      </c>
      <c r="N36" s="27">
        <f>ROUND(N35*22%,2)</f>
        <v>38610</v>
      </c>
      <c r="P36">
        <f>SUM(K19:L20)/2*22%</f>
        <v>9652.5</v>
      </c>
      <c r="Q36">
        <f>SUM(M19:N20)/2*22%</f>
        <v>19305</v>
      </c>
      <c r="R36">
        <f>SUM(O19:P20)/2*22%</f>
        <v>28957.5</v>
      </c>
      <c r="S36">
        <f>SUM(Q19:R20)/2*22%</f>
        <v>38610</v>
      </c>
    </row>
    <row r="37" spans="10:19" ht="12.75" customHeight="1">
      <c r="K37" s="27"/>
      <c r="L37" s="27"/>
      <c r="M37" s="27"/>
      <c r="N37" s="27"/>
    </row>
    <row r="38" spans="10:19" ht="12.75" customHeight="1">
      <c r="J38" t="s">
        <v>673</v>
      </c>
      <c r="K38" s="27">
        <f>K30-K35</f>
        <v>1065421.5</v>
      </c>
      <c r="L38" s="27">
        <f>M30-L35</f>
        <v>2130843</v>
      </c>
      <c r="M38" s="27">
        <f>O30-M35</f>
        <v>3196264.5</v>
      </c>
      <c r="N38" s="27">
        <f>Q30-N35</f>
        <v>4261686</v>
      </c>
    </row>
    <row r="39" spans="10:19" ht="12.75" customHeight="1">
      <c r="J39" t="s">
        <v>672</v>
      </c>
      <c r="K39" s="27">
        <f>ROUND((K38-K44)*22%+K45,2)</f>
        <v>231331.92</v>
      </c>
      <c r="L39" s="27">
        <f>ROUND((L38-L44)*22%+L45,2)</f>
        <v>462663.84</v>
      </c>
      <c r="M39" s="27">
        <f>ROUND((M38-M44)*22%+M45,2)</f>
        <v>693995.77</v>
      </c>
      <c r="N39" s="27">
        <f>ROUND((N38-N44)*22%+N45,2)</f>
        <v>925327.69</v>
      </c>
      <c r="P39">
        <f>(K38-K44)*22%+K45</f>
        <v>231331.92</v>
      </c>
      <c r="Q39">
        <f>(L38-L44)*22%+L45</f>
        <v>462663.84</v>
      </c>
      <c r="R39">
        <f>(M38-M44)*22%+M45</f>
        <v>693995.77</v>
      </c>
      <c r="S39">
        <f>(N38-N44)*22%+N45</f>
        <v>925327.69</v>
      </c>
    </row>
    <row r="40" spans="10:19" ht="12.75" customHeight="1">
      <c r="J40" t="s">
        <v>674</v>
      </c>
      <c r="K40" s="27"/>
      <c r="L40" s="27"/>
      <c r="M40" s="27"/>
      <c r="N40" s="27"/>
    </row>
    <row r="41" spans="10:19" ht="12.75" customHeight="1">
      <c r="J41" t="s">
        <v>675</v>
      </c>
      <c r="K41" s="27">
        <f>SUM(K22:L29)</f>
        <v>509535</v>
      </c>
      <c r="L41" s="27">
        <f>SUM(M22:N29)</f>
        <v>1019070</v>
      </c>
      <c r="M41" s="27">
        <f>SUM(O22:P29)</f>
        <v>1528605</v>
      </c>
      <c r="N41" s="27">
        <f>SUM(Q22:R29)</f>
        <v>2038140</v>
      </c>
    </row>
    <row r="42" spans="10:19" ht="12.75" customHeight="1">
      <c r="J42" t="s">
        <v>672</v>
      </c>
      <c r="K42" s="28">
        <f>ROUND(K41*22%,2)</f>
        <v>112097.7</v>
      </c>
      <c r="L42" s="28">
        <f>ROUND(L41*22%,2)</f>
        <v>224195.4</v>
      </c>
      <c r="M42" s="28">
        <f>ROUND(M41*22%,2)</f>
        <v>336293.1</v>
      </c>
      <c r="N42" s="28">
        <f>ROUND(N41*22%,2)</f>
        <v>448390.8</v>
      </c>
    </row>
    <row r="43" spans="10:19" ht="12.75" customHeight="1">
      <c r="K43" s="27"/>
      <c r="L43" s="27"/>
      <c r="M43" s="27"/>
      <c r="N43" s="27"/>
    </row>
    <row r="44" spans="10:19" ht="12.75" customHeight="1">
      <c r="J44" t="s">
        <v>676</v>
      </c>
      <c r="K44" s="27">
        <f>SUM(K26:L26)/C26</f>
        <v>22522.5</v>
      </c>
      <c r="L44" s="27">
        <f>SUM(M26:N26)/C26</f>
        <v>45045</v>
      </c>
      <c r="M44" s="27">
        <f>SUM(O26:P26)/C26</f>
        <v>67567.5</v>
      </c>
      <c r="N44" s="27">
        <f>SUM(Q26:R26)/C26</f>
        <v>90090</v>
      </c>
    </row>
    <row r="45" spans="10:19" ht="12.75" customHeight="1">
      <c r="J45" t="s">
        <v>677</v>
      </c>
      <c r="K45" s="27">
        <f>ROUND(K44*8.41%,2)</f>
        <v>1894.14</v>
      </c>
      <c r="L45" s="27">
        <f>ROUND(L44*8.41%,2)</f>
        <v>3788.28</v>
      </c>
      <c r="M45" s="27">
        <f>ROUND(M44*8.41%,2)</f>
        <v>5682.43</v>
      </c>
      <c r="N45" s="27">
        <f>ROUND(N44*8.41%,2)</f>
        <v>7576.57</v>
      </c>
    </row>
    <row r="46" spans="10:19" ht="12.75" customHeight="1">
      <c r="K46" s="27"/>
      <c r="L46" s="27"/>
      <c r="M46" s="27"/>
      <c r="N46" s="27"/>
    </row>
    <row r="47" spans="10:19" ht="12.75" customHeight="1">
      <c r="J47" t="s">
        <v>678</v>
      </c>
      <c r="K47" s="27">
        <f t="shared" ref="K47:N48" si="11">K35+K38</f>
        <v>1109296.5</v>
      </c>
      <c r="L47" s="27">
        <f t="shared" si="11"/>
        <v>2218593</v>
      </c>
      <c r="M47" s="27">
        <f t="shared" si="11"/>
        <v>3327889.5</v>
      </c>
      <c r="N47" s="27">
        <f t="shared" si="11"/>
        <v>4437186</v>
      </c>
    </row>
    <row r="48" spans="10:19" ht="12.75" customHeight="1">
      <c r="J48" t="s">
        <v>679</v>
      </c>
      <c r="K48" s="27">
        <f t="shared" si="11"/>
        <v>240984.42</v>
      </c>
      <c r="L48" s="27">
        <f t="shared" si="11"/>
        <v>481968.84</v>
      </c>
      <c r="M48" s="27">
        <f t="shared" si="11"/>
        <v>722953.27</v>
      </c>
      <c r="N48" s="27">
        <f t="shared" si="11"/>
        <v>963937.69</v>
      </c>
    </row>
    <row r="51" spans="10:11" ht="12.75" customHeight="1">
      <c r="J51" t="s">
        <v>680</v>
      </c>
    </row>
    <row r="53" spans="10:11" ht="12.75" customHeight="1">
      <c r="J53" t="s">
        <v>681</v>
      </c>
    </row>
    <row r="54" spans="10:11" ht="12.75" customHeight="1">
      <c r="J54" t="s">
        <v>522</v>
      </c>
      <c r="K54" s="27">
        <f>Q5</f>
        <v>227760</v>
      </c>
    </row>
    <row r="55" spans="10:11" ht="12.75" customHeight="1">
      <c r="J55" t="s">
        <v>682</v>
      </c>
      <c r="K55" s="27">
        <f>N38-K54</f>
        <v>4033926</v>
      </c>
    </row>
    <row r="56" spans="10:11" ht="12.75" customHeight="1">
      <c r="J56" t="s">
        <v>525</v>
      </c>
      <c r="K56" s="27">
        <f>N35</f>
        <v>175500</v>
      </c>
    </row>
    <row r="57" spans="10:11" ht="12.75" customHeight="1">
      <c r="K57" s="27"/>
    </row>
    <row r="58" spans="10:11" ht="12.75" customHeight="1">
      <c r="J58" t="s">
        <v>143</v>
      </c>
      <c r="K58" s="27"/>
    </row>
    <row r="59" spans="10:11" ht="12.75" customHeight="1">
      <c r="J59" t="s">
        <v>522</v>
      </c>
      <c r="K59" s="27">
        <f>K54*1.22</f>
        <v>277867.2</v>
      </c>
    </row>
    <row r="60" spans="10:11" ht="12.75" customHeight="1">
      <c r="J60" t="s">
        <v>682</v>
      </c>
      <c r="K60" s="27">
        <f>N38+N39-K59</f>
        <v>4909146.4899999993</v>
      </c>
    </row>
    <row r="61" spans="10:11" ht="12.75" customHeight="1">
      <c r="J61" t="s">
        <v>525</v>
      </c>
      <c r="K61" s="27">
        <f>N35+N36</f>
        <v>214110</v>
      </c>
    </row>
    <row r="62" spans="10:11" ht="12.75" customHeight="1">
      <c r="K62" s="27"/>
    </row>
    <row r="63" spans="10:11" ht="12.75" customHeight="1">
      <c r="J63" t="s">
        <v>683</v>
      </c>
      <c r="K63" s="27"/>
    </row>
    <row r="64" spans="10:11" ht="12.75" customHeight="1">
      <c r="J64" t="s">
        <v>522</v>
      </c>
      <c r="K64" s="27">
        <f>D5</f>
        <v>18980</v>
      </c>
    </row>
    <row r="65" spans="10:12" ht="12.75" customHeight="1">
      <c r="J65" t="s">
        <v>682</v>
      </c>
      <c r="K65" s="29">
        <f>SUM(K6:K18,K19/2,K20/2,K22:K29)/3/37</f>
        <v>6056.9459459459458</v>
      </c>
      <c r="L65" s="30"/>
    </row>
    <row r="66" spans="10:12" ht="12.75" customHeight="1">
      <c r="J66" t="s">
        <v>525</v>
      </c>
      <c r="K66" s="1">
        <f>(K19/2+K20/2)/2/3</f>
        <v>4875</v>
      </c>
    </row>
    <row r="67" spans="10:12" ht="12.75" customHeight="1">
      <c r="K67" s="27"/>
    </row>
    <row r="68" spans="10:12" ht="12.75" customHeight="1">
      <c r="J68" t="s">
        <v>684</v>
      </c>
      <c r="K68" s="27"/>
    </row>
    <row r="69" spans="10:12" ht="12.75" customHeight="1">
      <c r="J69" t="s">
        <v>522</v>
      </c>
      <c r="K69" s="27">
        <f>G5</f>
        <v>18980</v>
      </c>
    </row>
    <row r="70" spans="10:12" ht="12.75" customHeight="1">
      <c r="J70" t="s">
        <v>682</v>
      </c>
      <c r="K70" s="31">
        <f>(SUM(K6:L18)+SUM(K22:L29)+SUM(K19:L19)/2+SUM(K20:L20)/2)/3/37</f>
        <v>9085.4189189189183</v>
      </c>
    </row>
    <row r="71" spans="10:12" ht="12.75" customHeight="1">
      <c r="J71" t="s">
        <v>525</v>
      </c>
      <c r="K71" s="32">
        <f>SUM(K19:L20)/4/3</f>
        <v>7312.5</v>
      </c>
    </row>
  </sheetData>
  <mergeCells count="4">
    <mergeCell ref="K30:L30"/>
    <mergeCell ref="M30:N30"/>
    <mergeCell ref="O30:P30"/>
    <mergeCell ref="Q30:R30"/>
  </mergeCells>
  <pageMargins left="0.7" right="0.7" top="0.75" bottom="0.75" header="0.51180555555555496" footer="0.51180555555555496"/>
  <pageSetup paperSize="9"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W88"/>
  <sheetViews>
    <sheetView topLeftCell="A88" zoomScale="75" zoomScaleNormal="75" workbookViewId="0">
      <selection activeCell="F11" sqref="F11:J11"/>
    </sheetView>
  </sheetViews>
  <sheetFormatPr defaultColWidth="9" defaultRowHeight="18.75"/>
  <cols>
    <col min="1" max="1" width="50" style="79" customWidth="1"/>
    <col min="2" max="2" width="16.85546875" style="40" customWidth="1"/>
    <col min="3" max="3" width="14.5703125" style="40" customWidth="1"/>
    <col min="4" max="4" width="16.85546875" style="40" customWidth="1"/>
    <col min="5" max="5" width="16.140625" style="40" customWidth="1"/>
    <col min="6" max="6" width="14.5703125" style="40" customWidth="1"/>
    <col min="7" max="7" width="13.85546875" style="79" customWidth="1"/>
    <col min="8" max="9" width="14.5703125" style="79" customWidth="1"/>
    <col min="10" max="10" width="15.140625" style="79" customWidth="1"/>
    <col min="11" max="11" width="10" style="79" customWidth="1"/>
    <col min="12" max="12" width="6.5703125" style="79" customWidth="1"/>
    <col min="13" max="14" width="9.140625" style="79" hidden="1" customWidth="1"/>
    <col min="15" max="15" width="10.5703125" style="79" hidden="1" customWidth="1"/>
    <col min="16" max="257" width="9.140625" style="79" customWidth="1"/>
    <col min="258" max="1025" width="9.140625" customWidth="1"/>
  </cols>
  <sheetData>
    <row r="1" spans="1:10" ht="60.75" customHeight="1">
      <c r="A1" s="138"/>
      <c r="B1" s="67"/>
      <c r="C1" s="67"/>
      <c r="D1" s="67"/>
      <c r="E1" s="67"/>
      <c r="F1" s="67" t="s">
        <v>14</v>
      </c>
      <c r="G1" s="138"/>
      <c r="H1" s="138"/>
      <c r="I1" s="138"/>
      <c r="J1" s="138"/>
    </row>
    <row r="2" spans="1:10" ht="18.75" customHeight="1">
      <c r="A2" s="317" t="s">
        <v>15</v>
      </c>
      <c r="B2" s="317"/>
      <c r="C2" s="251"/>
      <c r="D2" s="252"/>
      <c r="E2" s="252"/>
      <c r="F2" s="342" t="s">
        <v>16</v>
      </c>
      <c r="G2" s="342"/>
      <c r="H2" s="342"/>
      <c r="I2" s="342"/>
      <c r="J2" s="342"/>
    </row>
    <row r="3" spans="1:10" ht="41.45" customHeight="1">
      <c r="A3" s="318" t="s">
        <v>17</v>
      </c>
      <c r="B3" s="318"/>
      <c r="C3" s="251"/>
      <c r="D3" s="253"/>
      <c r="E3" s="253"/>
      <c r="F3" s="342"/>
      <c r="G3" s="342"/>
      <c r="H3" s="342"/>
      <c r="I3" s="342"/>
      <c r="J3" s="342"/>
    </row>
    <row r="4" spans="1:10" ht="18.75" customHeight="1">
      <c r="A4" s="319"/>
      <c r="B4" s="319"/>
      <c r="C4" s="251"/>
      <c r="D4" s="253"/>
      <c r="E4" s="253"/>
      <c r="F4" s="342"/>
      <c r="G4" s="342"/>
      <c r="H4" s="342"/>
      <c r="I4" s="342"/>
      <c r="J4" s="342"/>
    </row>
    <row r="5" spans="1:10" ht="18.75" customHeight="1">
      <c r="A5" s="319"/>
      <c r="B5" s="319"/>
      <c r="C5" s="251"/>
      <c r="D5" s="253"/>
      <c r="E5" s="253"/>
      <c r="F5" s="253"/>
      <c r="G5" s="320"/>
      <c r="H5" s="320"/>
      <c r="I5" s="254"/>
      <c r="J5" s="254"/>
    </row>
    <row r="6" spans="1:10" ht="18.75" customHeight="1">
      <c r="A6" s="321" t="s">
        <v>18</v>
      </c>
      <c r="B6" s="321"/>
      <c r="C6" s="251"/>
      <c r="D6" s="255"/>
      <c r="E6" s="255"/>
      <c r="F6" s="322" t="s">
        <v>19</v>
      </c>
      <c r="G6" s="322"/>
      <c r="H6" s="322"/>
      <c r="I6" s="322"/>
      <c r="J6" s="322"/>
    </row>
    <row r="7" spans="1:10" ht="52.5" customHeight="1">
      <c r="A7" s="323" t="s">
        <v>20</v>
      </c>
      <c r="B7" s="323"/>
      <c r="C7" s="251"/>
      <c r="D7" s="255"/>
      <c r="E7" s="255"/>
      <c r="F7" s="322" t="s">
        <v>21</v>
      </c>
      <c r="G7" s="322"/>
      <c r="H7" s="322"/>
      <c r="I7" s="322"/>
      <c r="J7" s="322"/>
    </row>
    <row r="8" spans="1:10" ht="18.75" customHeight="1">
      <c r="A8" s="256" t="s">
        <v>22</v>
      </c>
      <c r="B8" s="257"/>
      <c r="C8" s="251"/>
      <c r="D8" s="255"/>
      <c r="E8" s="255"/>
      <c r="F8" s="322" t="s">
        <v>23</v>
      </c>
      <c r="G8" s="322"/>
      <c r="H8" s="322"/>
      <c r="I8" s="322"/>
      <c r="J8" s="322"/>
    </row>
    <row r="9" spans="1:10" ht="18.75" customHeight="1">
      <c r="A9" s="257"/>
      <c r="B9" s="257"/>
      <c r="C9" s="251"/>
      <c r="D9" s="255"/>
      <c r="E9" s="255"/>
      <c r="F9" s="322" t="s">
        <v>24</v>
      </c>
      <c r="G9" s="322"/>
      <c r="H9" s="322"/>
      <c r="I9" s="322"/>
      <c r="J9" s="322"/>
    </row>
    <row r="10" spans="1:10" ht="56.25" customHeight="1">
      <c r="A10" s="257"/>
      <c r="B10" s="257"/>
      <c r="C10" s="251"/>
      <c r="D10" s="255"/>
      <c r="E10" s="255"/>
      <c r="F10" s="324" t="s">
        <v>25</v>
      </c>
      <c r="G10" s="324"/>
      <c r="H10" s="324"/>
      <c r="I10" s="324"/>
      <c r="J10" s="324"/>
    </row>
    <row r="11" spans="1:10" ht="81" customHeight="1">
      <c r="A11" s="257"/>
      <c r="B11" s="257"/>
      <c r="C11" s="251"/>
      <c r="D11" s="255"/>
      <c r="E11" s="255"/>
      <c r="F11" s="322" t="s">
        <v>26</v>
      </c>
      <c r="G11" s="322"/>
      <c r="H11" s="322"/>
      <c r="I11" s="322"/>
      <c r="J11" s="322"/>
    </row>
    <row r="12" spans="1:10" ht="20.25" customHeight="1">
      <c r="A12" s="257"/>
      <c r="B12" s="257"/>
      <c r="C12" s="251"/>
      <c r="D12" s="255"/>
      <c r="E12" s="255"/>
      <c r="F12" s="256" t="s">
        <v>27</v>
      </c>
      <c r="G12" s="252"/>
      <c r="H12" s="252"/>
      <c r="I12" s="252"/>
      <c r="J12" s="252"/>
    </row>
    <row r="13" spans="1:10" ht="19.5" customHeight="1">
      <c r="A13" s="257"/>
      <c r="B13" s="257"/>
      <c r="C13" s="251"/>
      <c r="D13" s="255"/>
      <c r="E13" s="255"/>
      <c r="F13" s="252"/>
      <c r="G13" s="254"/>
      <c r="H13" s="256"/>
      <c r="I13" s="256"/>
      <c r="J13" s="256"/>
    </row>
    <row r="14" spans="1:10" ht="72.75" customHeight="1">
      <c r="A14" s="252"/>
      <c r="B14" s="258"/>
      <c r="C14" s="258"/>
      <c r="D14" s="258"/>
      <c r="E14" s="258"/>
      <c r="F14" s="258"/>
      <c r="G14" s="259"/>
      <c r="H14" s="259"/>
      <c r="I14" s="259"/>
      <c r="J14" s="259"/>
    </row>
    <row r="15" spans="1:10" ht="19.5" customHeight="1">
      <c r="A15" s="260"/>
      <c r="B15" s="325"/>
      <c r="C15" s="325"/>
      <c r="D15" s="325"/>
      <c r="E15" s="325"/>
      <c r="F15" s="325"/>
      <c r="G15" s="261"/>
      <c r="H15" s="262"/>
      <c r="I15" s="280" t="s">
        <v>28</v>
      </c>
      <c r="J15" s="281" t="s">
        <v>29</v>
      </c>
    </row>
    <row r="16" spans="1:10" ht="57.75" customHeight="1">
      <c r="A16" s="263" t="s">
        <v>30</v>
      </c>
      <c r="B16" s="326" t="s">
        <v>31</v>
      </c>
      <c r="C16" s="326"/>
      <c r="D16" s="326"/>
      <c r="E16" s="326"/>
      <c r="F16" s="326"/>
      <c r="G16" s="264"/>
      <c r="H16" s="265"/>
      <c r="I16" s="145" t="s">
        <v>32</v>
      </c>
      <c r="J16" s="281">
        <v>34734627</v>
      </c>
    </row>
    <row r="17" spans="1:10" ht="24" customHeight="1">
      <c r="A17" s="263" t="s">
        <v>33</v>
      </c>
      <c r="B17" s="326" t="s">
        <v>34</v>
      </c>
      <c r="C17" s="326"/>
      <c r="D17" s="326"/>
      <c r="E17" s="326"/>
      <c r="F17" s="326"/>
      <c r="G17" s="261"/>
      <c r="H17" s="262"/>
      <c r="I17" s="145" t="s">
        <v>35</v>
      </c>
      <c r="J17" s="281">
        <v>150</v>
      </c>
    </row>
    <row r="18" spans="1:10" ht="25.5" customHeight="1">
      <c r="A18" s="263" t="s">
        <v>36</v>
      </c>
      <c r="B18" s="326" t="s">
        <v>37</v>
      </c>
      <c r="C18" s="326"/>
      <c r="D18" s="326"/>
      <c r="E18" s="326"/>
      <c r="F18" s="326"/>
      <c r="G18" s="261"/>
      <c r="H18" s="262"/>
      <c r="I18" s="145" t="s">
        <v>38</v>
      </c>
      <c r="J18" s="110">
        <v>1210136600</v>
      </c>
    </row>
    <row r="19" spans="1:10" ht="29.25" customHeight="1">
      <c r="A19" s="263" t="s">
        <v>39</v>
      </c>
      <c r="B19" s="325"/>
      <c r="C19" s="325"/>
      <c r="D19" s="325"/>
      <c r="E19" s="325"/>
      <c r="F19" s="325"/>
      <c r="G19" s="264"/>
      <c r="H19" s="265"/>
      <c r="I19" s="145" t="s">
        <v>40</v>
      </c>
      <c r="J19" s="281"/>
    </row>
    <row r="20" spans="1:10" ht="33.75" customHeight="1">
      <c r="A20" s="263" t="s">
        <v>41</v>
      </c>
      <c r="B20" s="325"/>
      <c r="C20" s="325"/>
      <c r="D20" s="325"/>
      <c r="E20" s="325"/>
      <c r="F20" s="325"/>
      <c r="G20" s="264"/>
      <c r="H20" s="265"/>
      <c r="I20" s="145" t="s">
        <v>42</v>
      </c>
      <c r="J20" s="281"/>
    </row>
    <row r="21" spans="1:10" ht="36" customHeight="1">
      <c r="A21" s="263" t="s">
        <v>43</v>
      </c>
      <c r="B21" s="326" t="s">
        <v>44</v>
      </c>
      <c r="C21" s="326"/>
      <c r="D21" s="326"/>
      <c r="E21" s="326"/>
      <c r="F21" s="326"/>
      <c r="G21" s="264"/>
      <c r="H21" s="266"/>
      <c r="I21" s="282" t="s">
        <v>45</v>
      </c>
      <c r="J21" s="281" t="s">
        <v>46</v>
      </c>
    </row>
    <row r="22" spans="1:10" ht="51" customHeight="1">
      <c r="A22" s="327" t="s">
        <v>47</v>
      </c>
      <c r="B22" s="327"/>
      <c r="C22" s="327"/>
      <c r="D22" s="327"/>
      <c r="E22" s="327"/>
      <c r="F22" s="327"/>
      <c r="G22" s="328" t="s">
        <v>48</v>
      </c>
      <c r="H22" s="328"/>
      <c r="I22" s="328"/>
      <c r="J22" s="283" t="s">
        <v>49</v>
      </c>
    </row>
    <row r="23" spans="1:10" ht="22.5" customHeight="1">
      <c r="A23" s="263" t="s">
        <v>50</v>
      </c>
      <c r="B23" s="326" t="s">
        <v>51</v>
      </c>
      <c r="C23" s="326"/>
      <c r="D23" s="326"/>
      <c r="E23" s="326"/>
      <c r="F23" s="326"/>
      <c r="G23" s="328" t="s">
        <v>52</v>
      </c>
      <c r="H23" s="328"/>
      <c r="I23" s="328"/>
      <c r="J23" s="284"/>
    </row>
    <row r="24" spans="1:10" ht="27" customHeight="1">
      <c r="A24" s="327" t="s">
        <v>53</v>
      </c>
      <c r="B24" s="327"/>
      <c r="C24" s="327"/>
      <c r="D24" s="327"/>
      <c r="E24" s="327"/>
      <c r="F24" s="327"/>
      <c r="G24" s="264"/>
      <c r="H24" s="264"/>
      <c r="I24" s="264"/>
      <c r="J24" s="265"/>
    </row>
    <row r="25" spans="1:10" ht="30" customHeight="1">
      <c r="A25" s="263" t="s">
        <v>54</v>
      </c>
      <c r="B25" s="326" t="s">
        <v>55</v>
      </c>
      <c r="C25" s="326"/>
      <c r="D25" s="326"/>
      <c r="E25" s="326"/>
      <c r="F25" s="326"/>
      <c r="G25" s="261"/>
      <c r="H25" s="261"/>
      <c r="I25" s="261"/>
      <c r="J25" s="262"/>
    </row>
    <row r="26" spans="1:10" ht="36" customHeight="1">
      <c r="A26" s="263" t="s">
        <v>56</v>
      </c>
      <c r="B26" s="326" t="s">
        <v>57</v>
      </c>
      <c r="C26" s="326"/>
      <c r="D26" s="326"/>
      <c r="E26" s="326"/>
      <c r="F26" s="326"/>
      <c r="G26" s="264"/>
      <c r="H26" s="264"/>
      <c r="I26" s="264"/>
      <c r="J26" s="265"/>
    </row>
    <row r="27" spans="1:10" ht="31.5" customHeight="1">
      <c r="A27" s="263" t="s">
        <v>58</v>
      </c>
      <c r="B27" s="329" t="s">
        <v>59</v>
      </c>
      <c r="C27" s="329"/>
      <c r="D27" s="329"/>
      <c r="E27" s="329"/>
      <c r="F27" s="329"/>
      <c r="G27" s="261"/>
      <c r="H27" s="261"/>
      <c r="I27" s="261"/>
      <c r="J27" s="262"/>
    </row>
    <row r="28" spans="1:10" ht="20.100000000000001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</row>
    <row r="29" spans="1:10" ht="20.100000000000001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</row>
    <row r="30" spans="1:10" ht="19.5" customHeight="1">
      <c r="A30" s="267"/>
      <c r="B30" s="138"/>
      <c r="C30" s="67"/>
      <c r="D30" s="138"/>
      <c r="E30" s="138"/>
      <c r="F30" s="138"/>
      <c r="G30" s="138"/>
      <c r="H30" s="138"/>
      <c r="I30" s="138"/>
      <c r="J30" s="138"/>
    </row>
    <row r="31" spans="1:10" ht="18.75" customHeight="1">
      <c r="A31" s="330" t="s">
        <v>60</v>
      </c>
      <c r="B31" s="330"/>
      <c r="C31" s="330"/>
      <c r="D31" s="330"/>
      <c r="E31" s="330"/>
      <c r="F31" s="330"/>
      <c r="G31" s="330"/>
      <c r="H31" s="330"/>
      <c r="I31" s="330"/>
      <c r="J31" s="330"/>
    </row>
    <row r="32" spans="1:10" ht="9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10" ht="18.75" customHeight="1">
      <c r="A33" s="331"/>
      <c r="B33" s="331"/>
      <c r="C33" s="331"/>
      <c r="D33" s="331"/>
      <c r="E33" s="331"/>
      <c r="F33" s="331"/>
      <c r="G33" s="331"/>
      <c r="H33" s="331"/>
      <c r="I33" s="331"/>
      <c r="J33" s="331"/>
    </row>
    <row r="34" spans="1:10" ht="21" customHeight="1">
      <c r="B34" s="268"/>
      <c r="C34" s="37"/>
      <c r="D34" s="268"/>
      <c r="E34" s="268"/>
      <c r="F34" s="268"/>
      <c r="G34" s="269"/>
      <c r="H34" s="269"/>
      <c r="I34" s="269"/>
      <c r="J34" s="269"/>
    </row>
    <row r="35" spans="1:10" ht="31.5" customHeight="1">
      <c r="A35" s="340" t="s">
        <v>61</v>
      </c>
      <c r="B35" s="332" t="s">
        <v>62</v>
      </c>
      <c r="C35" s="332" t="s">
        <v>63</v>
      </c>
      <c r="D35" s="332" t="s">
        <v>64</v>
      </c>
      <c r="E35" s="332" t="s">
        <v>65</v>
      </c>
      <c r="F35" s="341" t="s">
        <v>66</v>
      </c>
      <c r="G35" s="332" t="s">
        <v>67</v>
      </c>
      <c r="H35" s="332"/>
      <c r="I35" s="332"/>
      <c r="J35" s="332"/>
    </row>
    <row r="36" spans="1:10" ht="54.75" customHeight="1">
      <c r="A36" s="340"/>
      <c r="B36" s="332"/>
      <c r="C36" s="332"/>
      <c r="D36" s="332"/>
      <c r="E36" s="332"/>
      <c r="F36" s="341"/>
      <c r="G36" s="197" t="s">
        <v>68</v>
      </c>
      <c r="H36" s="197" t="s">
        <v>69</v>
      </c>
      <c r="I36" s="197" t="s">
        <v>70</v>
      </c>
      <c r="J36" s="197" t="s">
        <v>71</v>
      </c>
    </row>
    <row r="37" spans="1:10" ht="20.100000000000001" customHeight="1">
      <c r="A37" s="82">
        <v>1</v>
      </c>
      <c r="B37" s="83">
        <v>2</v>
      </c>
      <c r="C37" s="83">
        <v>3</v>
      </c>
      <c r="D37" s="83">
        <v>4</v>
      </c>
      <c r="E37" s="83">
        <v>5</v>
      </c>
      <c r="F37" s="83">
        <v>6</v>
      </c>
      <c r="G37" s="83">
        <v>7</v>
      </c>
      <c r="H37" s="83">
        <v>8</v>
      </c>
      <c r="I37" s="83">
        <v>9</v>
      </c>
      <c r="J37" s="83">
        <v>10</v>
      </c>
    </row>
    <row r="38" spans="1:10" ht="24.95" customHeight="1">
      <c r="A38" s="333" t="s">
        <v>72</v>
      </c>
      <c r="B38" s="333"/>
      <c r="C38" s="333"/>
      <c r="D38" s="333"/>
      <c r="E38" s="333"/>
      <c r="F38" s="333"/>
      <c r="G38" s="333"/>
      <c r="H38" s="333"/>
      <c r="I38" s="333"/>
      <c r="J38" s="333"/>
    </row>
    <row r="39" spans="1:10" ht="37.5" customHeight="1">
      <c r="A39" s="270" t="s">
        <v>73</v>
      </c>
      <c r="B39" s="82">
        <f>'I. Фін результат'!B7</f>
        <v>1000</v>
      </c>
      <c r="C39" s="271">
        <f>'I. Фін результат'!C7</f>
        <v>0</v>
      </c>
      <c r="D39" s="271">
        <f>'I. Фін результат'!D7</f>
        <v>150</v>
      </c>
      <c r="E39" s="271">
        <f>'I. Фін результат'!I7</f>
        <v>150</v>
      </c>
      <c r="F39" s="271">
        <f>'I. Фін результат'!E7</f>
        <v>150</v>
      </c>
      <c r="G39" s="94">
        <f>ROUND(E39*1.05,0)</f>
        <v>158</v>
      </c>
      <c r="H39" s="94">
        <f t="shared" ref="H39:J40" si="0">ROUND(G39*1.05,0)</f>
        <v>166</v>
      </c>
      <c r="I39" s="94">
        <f t="shared" si="0"/>
        <v>174</v>
      </c>
      <c r="J39" s="94">
        <f t="shared" si="0"/>
        <v>183</v>
      </c>
    </row>
    <row r="40" spans="1:10" ht="37.5" customHeight="1">
      <c r="A40" s="270" t="s">
        <v>74</v>
      </c>
      <c r="B40" s="82">
        <f>'I. Фін результат'!B10</f>
        <v>1010</v>
      </c>
      <c r="C40" s="271">
        <f>'I. Фін результат'!C10</f>
        <v>0</v>
      </c>
      <c r="D40" s="271">
        <f>'I. Фін результат'!D10</f>
        <v>218</v>
      </c>
      <c r="E40" s="271">
        <f>'I. Фін результат'!I10</f>
        <v>214</v>
      </c>
      <c r="F40" s="271">
        <f>'I. Фін результат'!E10</f>
        <v>218</v>
      </c>
      <c r="G40" s="94">
        <f>ROUND(E40*1.05,0)</f>
        <v>225</v>
      </c>
      <c r="H40" s="94">
        <f t="shared" si="0"/>
        <v>236</v>
      </c>
      <c r="I40" s="94">
        <f t="shared" si="0"/>
        <v>248</v>
      </c>
      <c r="J40" s="94">
        <f t="shared" si="0"/>
        <v>260</v>
      </c>
    </row>
    <row r="41" spans="1:10" ht="21.95" customHeight="1">
      <c r="A41" s="272" t="s">
        <v>75</v>
      </c>
      <c r="B41" s="82">
        <f>'I. Фін результат'!B20</f>
        <v>1020</v>
      </c>
      <c r="C41" s="271">
        <f>'I. Фін результат'!C20</f>
        <v>0</v>
      </c>
      <c r="D41" s="271">
        <f>'I. Фін результат'!D20</f>
        <v>-68</v>
      </c>
      <c r="E41" s="271">
        <f>'I. Фін результат'!I20</f>
        <v>-64</v>
      </c>
      <c r="F41" s="271">
        <f>'I. Фін результат'!E20</f>
        <v>-68</v>
      </c>
      <c r="G41" s="271">
        <f>G39-G40</f>
        <v>-67</v>
      </c>
      <c r="H41" s="271">
        <f>H39-H40</f>
        <v>-70</v>
      </c>
      <c r="I41" s="271">
        <f>I39-I40</f>
        <v>-74</v>
      </c>
      <c r="J41" s="271">
        <f>J39-J40</f>
        <v>-77</v>
      </c>
    </row>
    <row r="42" spans="1:10" ht="21.95" customHeight="1">
      <c r="A42" s="270" t="s">
        <v>76</v>
      </c>
      <c r="B42" s="82">
        <f>'I. Фін результат'!B26</f>
        <v>1040</v>
      </c>
      <c r="C42" s="271">
        <f>'I. Фін результат'!C26</f>
        <v>5908</v>
      </c>
      <c r="D42" s="271">
        <f>'I. Фін результат'!D26</f>
        <v>7154</v>
      </c>
      <c r="E42" s="271">
        <f>'I. Фін результат'!I26</f>
        <v>8070</v>
      </c>
      <c r="F42" s="271">
        <f>'I. Фін результат'!E26</f>
        <v>7154</v>
      </c>
      <c r="G42" s="94">
        <f>ROUND(E42*1.05,0)</f>
        <v>8474</v>
      </c>
      <c r="H42" s="94">
        <f t="shared" ref="H42:J44" si="1">ROUND(G42*1.05,0)</f>
        <v>8898</v>
      </c>
      <c r="I42" s="94">
        <f t="shared" si="1"/>
        <v>9343</v>
      </c>
      <c r="J42" s="94">
        <f t="shared" si="1"/>
        <v>9810</v>
      </c>
    </row>
    <row r="43" spans="1:10" ht="21.95" customHeight="1">
      <c r="A43" s="270" t="s">
        <v>77</v>
      </c>
      <c r="B43" s="82">
        <f>'I. Фін результат'!B65</f>
        <v>1070</v>
      </c>
      <c r="C43" s="271">
        <f>'I. Фін результат'!C65</f>
        <v>0</v>
      </c>
      <c r="D43" s="271">
        <f>'I. Фін результат'!D65</f>
        <v>0</v>
      </c>
      <c r="E43" s="271">
        <f>'I. Фін результат'!I65</f>
        <v>0</v>
      </c>
      <c r="F43" s="271">
        <f>'I. Фін результат'!E65</f>
        <v>0</v>
      </c>
      <c r="G43" s="94">
        <f>ROUND(E43*1.05,0)</f>
        <v>0</v>
      </c>
      <c r="H43" s="94">
        <f t="shared" si="1"/>
        <v>0</v>
      </c>
      <c r="I43" s="94">
        <f t="shared" si="1"/>
        <v>0</v>
      </c>
      <c r="J43" s="94">
        <f t="shared" si="1"/>
        <v>0</v>
      </c>
    </row>
    <row r="44" spans="1:10" ht="21.95" customHeight="1">
      <c r="A44" s="270" t="s">
        <v>78</v>
      </c>
      <c r="B44" s="82">
        <f>'I. Фін результат'!B131</f>
        <v>1300</v>
      </c>
      <c r="C44" s="271">
        <f>'I. Фін результат'!C131</f>
        <v>32072</v>
      </c>
      <c r="D44" s="271">
        <f>'I. Фін результат'!D131</f>
        <v>-81222</v>
      </c>
      <c r="E44" s="271">
        <f>'I. Фін результат'!I131</f>
        <v>31925</v>
      </c>
      <c r="F44" s="271">
        <f>D44</f>
        <v>-81222</v>
      </c>
      <c r="G44" s="94">
        <f>ROUND(E44*1.05,0)</f>
        <v>33521</v>
      </c>
      <c r="H44" s="94">
        <f t="shared" si="1"/>
        <v>35197</v>
      </c>
      <c r="I44" s="94">
        <f t="shared" si="1"/>
        <v>36957</v>
      </c>
      <c r="J44" s="94">
        <f t="shared" si="1"/>
        <v>38805</v>
      </c>
    </row>
    <row r="45" spans="1:10" ht="37.5" customHeight="1">
      <c r="A45" s="273" t="s">
        <v>79</v>
      </c>
      <c r="B45" s="82">
        <f>'I. Фін результат'!B86</f>
        <v>1100</v>
      </c>
      <c r="C45" s="271">
        <f>'I. Фін результат'!C86</f>
        <v>26164</v>
      </c>
      <c r="D45" s="271">
        <f>'I. Фін результат'!D86</f>
        <v>-88444</v>
      </c>
      <c r="E45" s="271">
        <f>'I. Фін результат'!I86</f>
        <v>23791</v>
      </c>
      <c r="F45" s="271">
        <f>D45</f>
        <v>-88444</v>
      </c>
      <c r="G45" s="271">
        <f>G41-G42-G43+G44</f>
        <v>24980</v>
      </c>
      <c r="H45" s="271">
        <f>H41-H42-H43+H44</f>
        <v>26229</v>
      </c>
      <c r="I45" s="271">
        <f>I41-I42-I43+I44</f>
        <v>27540</v>
      </c>
      <c r="J45" s="271">
        <f>J41-J42-J43+J44</f>
        <v>28918</v>
      </c>
    </row>
    <row r="46" spans="1:10" ht="25.5" customHeight="1">
      <c r="A46" s="273" t="s">
        <v>80</v>
      </c>
      <c r="B46" s="82">
        <f>'I. Фін результат'!B142</f>
        <v>1410</v>
      </c>
      <c r="C46" s="271">
        <f>'I. Фін результат'!C142</f>
        <v>-5857</v>
      </c>
      <c r="D46" s="271">
        <f>'I. Фін результат'!D142</f>
        <v>-88354</v>
      </c>
      <c r="E46" s="271">
        <f>'I. Фін результат'!I142</f>
        <v>23878</v>
      </c>
      <c r="F46" s="271">
        <f>'I. Фін результат'!E142</f>
        <v>-88354</v>
      </c>
      <c r="G46" s="94">
        <f>ROUND(E46*1.05,0)</f>
        <v>25072</v>
      </c>
      <c r="H46" s="94">
        <f>ROUND(G46*1.05,0)</f>
        <v>26326</v>
      </c>
      <c r="I46" s="94">
        <f>ROUND(H46*1.05,0)</f>
        <v>27642</v>
      </c>
      <c r="J46" s="94">
        <f>ROUND(I46*1.05,0)</f>
        <v>29024</v>
      </c>
    </row>
    <row r="47" spans="1:10" ht="22.5" customHeight="1">
      <c r="A47" s="274" t="s">
        <v>81</v>
      </c>
      <c r="B47" s="82">
        <f>' V. Коефіцієнти'!B8</f>
        <v>5010</v>
      </c>
      <c r="C47" s="271">
        <f>' V. Коефіцієнти'!D8</f>
        <v>0</v>
      </c>
      <c r="D47" s="275">
        <f>D46/D39</f>
        <v>-589.02666666666664</v>
      </c>
      <c r="E47" s="275">
        <f>' V. Коефіцієнти'!G8</f>
        <v>159.18666666666667</v>
      </c>
      <c r="F47" s="275">
        <f>F46/F39</f>
        <v>-589.02666666666664</v>
      </c>
      <c r="G47" s="276">
        <f>G46*100/G39</f>
        <v>15868.354430379746</v>
      </c>
      <c r="H47" s="276">
        <f>H46*100/H39</f>
        <v>15859.036144578313</v>
      </c>
      <c r="I47" s="276">
        <f>I46*100/I39</f>
        <v>15886.206896551725</v>
      </c>
      <c r="J47" s="276">
        <f>J46*100/J39</f>
        <v>15860.109289617487</v>
      </c>
    </row>
    <row r="48" spans="1:10" ht="37.5" customHeight="1">
      <c r="A48" s="274" t="s">
        <v>82</v>
      </c>
      <c r="B48" s="82">
        <f>'I. Фін результат'!B132</f>
        <v>1310</v>
      </c>
      <c r="C48" s="271">
        <f>'I. Фін результат'!C132</f>
        <v>-25258</v>
      </c>
      <c r="D48" s="271">
        <f>'I. Фін результат'!D132</f>
        <v>-20106</v>
      </c>
      <c r="E48" s="271">
        <f>'I. Фін результат'!I132</f>
        <v>-42134</v>
      </c>
      <c r="F48" s="271">
        <f>'I. Фін результат'!E132</f>
        <v>-20106</v>
      </c>
      <c r="G48" s="94">
        <f>ROUND(E48*1.05,0)</f>
        <v>-44241</v>
      </c>
      <c r="H48" s="94">
        <f t="shared" ref="H48:J49" si="2">ROUND(G48*1.05,0)</f>
        <v>-46453</v>
      </c>
      <c r="I48" s="94">
        <f t="shared" si="2"/>
        <v>-48776</v>
      </c>
      <c r="J48" s="94">
        <f t="shared" si="2"/>
        <v>-51215</v>
      </c>
    </row>
    <row r="49" spans="1:10" ht="21.95" customHeight="1">
      <c r="A49" s="270" t="s">
        <v>83</v>
      </c>
      <c r="B49" s="82">
        <f>'I. Фін результат'!B133</f>
        <v>1320</v>
      </c>
      <c r="C49" s="271">
        <f>'I. Фін результат'!C133</f>
        <v>33936</v>
      </c>
      <c r="D49" s="271">
        <f>'I. Фін результат'!D133</f>
        <v>85227</v>
      </c>
      <c r="E49" s="271">
        <f>'I. Фін результат'!I133</f>
        <v>5</v>
      </c>
      <c r="F49" s="271">
        <f>D49</f>
        <v>85227</v>
      </c>
      <c r="G49" s="94">
        <f>ROUND(E49*1.05,0)</f>
        <v>5</v>
      </c>
      <c r="H49" s="94">
        <f t="shared" si="2"/>
        <v>5</v>
      </c>
      <c r="I49" s="94">
        <f t="shared" si="2"/>
        <v>5</v>
      </c>
      <c r="J49" s="94">
        <f t="shared" si="2"/>
        <v>5</v>
      </c>
    </row>
    <row r="50" spans="1:10" ht="38.25" customHeight="1">
      <c r="A50" s="273" t="s">
        <v>84</v>
      </c>
      <c r="B50" s="82">
        <f>'I. Фін результат'!B123</f>
        <v>1170</v>
      </c>
      <c r="C50" s="271">
        <f>'I. Фін результат'!C123</f>
        <v>34842</v>
      </c>
      <c r="D50" s="271">
        <f>'I. Фін результат'!D123</f>
        <v>-23323</v>
      </c>
      <c r="E50" s="271">
        <f>'I. Фін результат'!I123</f>
        <v>-18338</v>
      </c>
      <c r="F50" s="271">
        <f>'I. Фін результат'!E123</f>
        <v>-23323</v>
      </c>
      <c r="G50" s="271">
        <f>G45+G48+G49</f>
        <v>-19256</v>
      </c>
      <c r="H50" s="271">
        <f>H45+H48+H49</f>
        <v>-20219</v>
      </c>
      <c r="I50" s="271">
        <f>I45+I48+I49</f>
        <v>-21231</v>
      </c>
      <c r="J50" s="271">
        <f>J45+J48+J49</f>
        <v>-22292</v>
      </c>
    </row>
    <row r="51" spans="1:10" ht="21.95" customHeight="1">
      <c r="A51" s="274" t="s">
        <v>85</v>
      </c>
      <c r="B51" s="82">
        <f>'I. Фін результат'!B124</f>
        <v>1180</v>
      </c>
      <c r="C51" s="271">
        <f>'I. Фін результат'!C124</f>
        <v>0</v>
      </c>
      <c r="D51" s="271" t="s">
        <v>86</v>
      </c>
      <c r="E51" s="271">
        <f>'I. Фін результат'!I124</f>
        <v>0</v>
      </c>
      <c r="F51" s="271">
        <f>'I. Фін результат'!E124</f>
        <v>0</v>
      </c>
      <c r="G51" s="271">
        <f>IF(G50&gt;0,G50*18%,0)</f>
        <v>0</v>
      </c>
      <c r="H51" s="271">
        <f>IF(H50&gt;0,H50*18%,0)</f>
        <v>0</v>
      </c>
      <c r="I51" s="271">
        <f>IF(I50&gt;0,I50*18%,0)</f>
        <v>0</v>
      </c>
      <c r="J51" s="271">
        <f>IF(J50&gt;0,J50*18%,0)</f>
        <v>0</v>
      </c>
    </row>
    <row r="52" spans="1:10" ht="21.95" customHeight="1">
      <c r="A52" s="273" t="s">
        <v>87</v>
      </c>
      <c r="B52" s="82">
        <f>'I. Фін результат'!B126</f>
        <v>1200</v>
      </c>
      <c r="C52" s="271">
        <f>'I. Фін результат'!C126</f>
        <v>34842</v>
      </c>
      <c r="D52" s="271">
        <f>'I. Фін результат'!D126</f>
        <v>-23323</v>
      </c>
      <c r="E52" s="271">
        <f>'I. Фін результат'!I126</f>
        <v>-18338</v>
      </c>
      <c r="F52" s="271">
        <f>'I. Фін результат'!E126</f>
        <v>-23323</v>
      </c>
      <c r="G52" s="271">
        <f>G50-G51</f>
        <v>-19256</v>
      </c>
      <c r="H52" s="271">
        <f>H50-H51</f>
        <v>-20219</v>
      </c>
      <c r="I52" s="271">
        <f>I50-I51</f>
        <v>-21231</v>
      </c>
      <c r="J52" s="271">
        <f>J50-J51</f>
        <v>-22292</v>
      </c>
    </row>
    <row r="53" spans="1:10" ht="21.95" customHeight="1">
      <c r="A53" s="274" t="s">
        <v>88</v>
      </c>
      <c r="B53" s="82">
        <f>' V. Коефіцієнти'!B11</f>
        <v>5040</v>
      </c>
      <c r="C53" s="271">
        <f>' V. Коефіцієнти'!D11</f>
        <v>0</v>
      </c>
      <c r="D53" s="275">
        <f>D52/D39</f>
        <v>-155.48666666666668</v>
      </c>
      <c r="E53" s="275">
        <f>' V. Коефіцієнти'!G11</f>
        <v>-122.25333333333333</v>
      </c>
      <c r="F53" s="275">
        <f>' V. Коефіцієнти'!F11</f>
        <v>-155.48666666666668</v>
      </c>
      <c r="G53" s="277">
        <f>G52/G39</f>
        <v>-121.87341772151899</v>
      </c>
      <c r="H53" s="277">
        <f>H52/H39</f>
        <v>-121.8012048192771</v>
      </c>
      <c r="I53" s="277">
        <f>I52/I39</f>
        <v>-122.01724137931035</v>
      </c>
      <c r="J53" s="277">
        <f>J52/J39</f>
        <v>-121.81420765027322</v>
      </c>
    </row>
    <row r="54" spans="1:10" ht="24.95" customHeight="1">
      <c r="A54" s="334" t="s">
        <v>89</v>
      </c>
      <c r="B54" s="334"/>
      <c r="C54" s="334"/>
      <c r="D54" s="334"/>
      <c r="E54" s="334"/>
      <c r="F54" s="334"/>
      <c r="G54" s="334"/>
      <c r="H54" s="334"/>
      <c r="I54" s="334"/>
      <c r="J54" s="334"/>
    </row>
    <row r="55" spans="1:10" ht="22.5" customHeight="1">
      <c r="A55" s="84" t="s">
        <v>90</v>
      </c>
      <c r="B55" s="82">
        <f>'ІІ. Розр. з бюджетом'!B21</f>
        <v>2100</v>
      </c>
      <c r="C55" s="271">
        <f>'ІІ. Розр. з бюджетом'!C8</f>
        <v>5047</v>
      </c>
      <c r="D55" s="271">
        <f>'ІІ. Розр. з бюджетом'!D21</f>
        <v>0</v>
      </c>
      <c r="E55" s="271">
        <f>'ІІ. Розр. з бюджетом'!I21</f>
        <v>0</v>
      </c>
      <c r="F55" s="271">
        <f>'ІІ. Розр. з бюджетом'!E21</f>
        <v>-0.44</v>
      </c>
      <c r="G55" s="278">
        <f>IF(G52&gt;0,ROUND(G52*66%,0),0)</f>
        <v>0</v>
      </c>
      <c r="H55" s="278">
        <f>IF(H52&gt;0,ROUND(H52*66%,0),0)</f>
        <v>0</v>
      </c>
      <c r="I55" s="278">
        <f>IF(I52&gt;0,ROUND(I52*66%,0),0)</f>
        <v>0</v>
      </c>
      <c r="J55" s="278">
        <f>IF(J52&gt;0,ROUND(J52*66%,0),0)</f>
        <v>0</v>
      </c>
    </row>
    <row r="56" spans="1:10" ht="25.5" customHeight="1">
      <c r="A56" s="126" t="s">
        <v>91</v>
      </c>
      <c r="B56" s="82">
        <f>'ІІ. Розр. з бюджетом'!B24</f>
        <v>2110</v>
      </c>
      <c r="C56" s="271">
        <f>'ІІ. Розр. з бюджетом'!C24</f>
        <v>908</v>
      </c>
      <c r="D56" s="271">
        <f>'ІІ. Розр. з бюджетом'!D24</f>
        <v>0</v>
      </c>
      <c r="E56" s="271">
        <f>'ІІ. Розр. з бюджетом'!I24</f>
        <v>0</v>
      </c>
      <c r="F56" s="271">
        <f>'ІІ. Розр. з бюджетом'!E24</f>
        <v>0</v>
      </c>
      <c r="G56" s="271">
        <f>G51</f>
        <v>0</v>
      </c>
      <c r="H56" s="271">
        <f>H51</f>
        <v>0</v>
      </c>
      <c r="I56" s="271">
        <f>I51</f>
        <v>0</v>
      </c>
      <c r="J56" s="271">
        <f>J51</f>
        <v>0</v>
      </c>
    </row>
    <row r="57" spans="1:10" ht="56.25" customHeight="1">
      <c r="A57" s="126" t="s">
        <v>92</v>
      </c>
      <c r="B57" s="82" t="s">
        <v>93</v>
      </c>
      <c r="C57" s="271">
        <f>SUM('ІІ. Розр. з бюджетом'!C25,'ІІ. Розр. з бюджетом'!C26)</f>
        <v>35596</v>
      </c>
      <c r="D57" s="271">
        <f>SUM('ІІ. Розр. з бюджетом'!D25,'ІІ. Розр. з бюджетом'!D26)</f>
        <v>-16509</v>
      </c>
      <c r="E57" s="271">
        <f>'ІІ. Розр. з бюджетом'!I25+'ІІ. Розр. з бюджетом'!I26</f>
        <v>-3017</v>
      </c>
      <c r="F57" s="271">
        <f>SUM('ІІ. Розр. з бюджетом'!E25,'ІІ. Розр. з бюджетом'!E26)</f>
        <v>-16509</v>
      </c>
      <c r="G57" s="94">
        <f>ROUND(E57*1.05,0)</f>
        <v>-3168</v>
      </c>
      <c r="H57" s="94">
        <f t="shared" ref="H57:J59" si="3">ROUND(G57*1.05,0)</f>
        <v>-3326</v>
      </c>
      <c r="I57" s="94">
        <f t="shared" si="3"/>
        <v>-3492</v>
      </c>
      <c r="J57" s="94">
        <f t="shared" si="3"/>
        <v>-3667</v>
      </c>
    </row>
    <row r="58" spans="1:10" ht="56.25" customHeight="1">
      <c r="A58" s="84" t="s">
        <v>94</v>
      </c>
      <c r="B58" s="82">
        <f>'ІІ. Розр. з бюджетом'!B27</f>
        <v>2140</v>
      </c>
      <c r="C58" s="271">
        <f>'ІІ. Розр. з бюджетом'!C27</f>
        <v>723</v>
      </c>
      <c r="D58" s="271">
        <f>'ІІ. Розр. з бюджетом'!D27</f>
        <v>872</v>
      </c>
      <c r="E58" s="271">
        <f>'ІІ. Розр. з бюджетом'!I27</f>
        <v>866</v>
      </c>
      <c r="F58" s="271">
        <f>'ІІ. Розр. з бюджетом'!E27</f>
        <v>872</v>
      </c>
      <c r="G58" s="94">
        <f>ROUND(E58*1.05,0)</f>
        <v>909</v>
      </c>
      <c r="H58" s="94">
        <f t="shared" si="3"/>
        <v>954</v>
      </c>
      <c r="I58" s="94">
        <f t="shared" si="3"/>
        <v>1002</v>
      </c>
      <c r="J58" s="94">
        <f t="shared" si="3"/>
        <v>1052</v>
      </c>
    </row>
    <row r="59" spans="1:10" ht="39" customHeight="1">
      <c r="A59" s="84" t="s">
        <v>95</v>
      </c>
      <c r="B59" s="82">
        <f>'ІІ. Розр. з бюджетом'!B38</f>
        <v>2150</v>
      </c>
      <c r="C59" s="271">
        <f>'ІІ. Розр. з бюджетом'!C38</f>
        <v>790</v>
      </c>
      <c r="D59" s="271">
        <f>'ІІ. Розр. з бюджетом'!D38</f>
        <v>971</v>
      </c>
      <c r="E59" s="271">
        <f>'ІІ. Розр. з бюджетом'!I38</f>
        <v>963.90899999999999</v>
      </c>
      <c r="F59" s="271">
        <f>'ІІ. Розр. з бюджетом'!E38</f>
        <v>971</v>
      </c>
      <c r="G59" s="94">
        <f>ROUND(E59*1.05,0)</f>
        <v>1012</v>
      </c>
      <c r="H59" s="94">
        <f t="shared" si="3"/>
        <v>1063</v>
      </c>
      <c r="I59" s="94">
        <f t="shared" si="3"/>
        <v>1116</v>
      </c>
      <c r="J59" s="94">
        <f t="shared" si="3"/>
        <v>1172</v>
      </c>
    </row>
    <row r="60" spans="1:10" ht="22.5" customHeight="1">
      <c r="A60" s="279" t="s">
        <v>96</v>
      </c>
      <c r="B60" s="82">
        <f>'ІІ. Розр. з бюджетом'!B39</f>
        <v>2200</v>
      </c>
      <c r="C60" s="271">
        <f>'ІІ. Розр. з бюджетом'!C39</f>
        <v>43064</v>
      </c>
      <c r="D60" s="271">
        <f>'ІІ. Розр. з бюджетом'!D39</f>
        <v>-14666</v>
      </c>
      <c r="E60" s="271">
        <f>'ІІ. Розр. з бюджетом'!I39</f>
        <v>-1187.0909999999999</v>
      </c>
      <c r="F60" s="271">
        <f>'ІІ. Розр. з бюджетом'!E39</f>
        <v>-14666.439999999999</v>
      </c>
      <c r="G60" s="271">
        <f>SUM(G55:G59)</f>
        <v>-1247</v>
      </c>
      <c r="H60" s="271">
        <f>SUM(H55:H59)</f>
        <v>-1309</v>
      </c>
      <c r="I60" s="271">
        <f>SUM(I55:I59)</f>
        <v>-1374</v>
      </c>
      <c r="J60" s="271">
        <f>SUM(J55:J59)</f>
        <v>-1443</v>
      </c>
    </row>
    <row r="61" spans="1:10" ht="24.95" customHeight="1">
      <c r="A61" s="334" t="s">
        <v>97</v>
      </c>
      <c r="B61" s="334"/>
      <c r="C61" s="334"/>
      <c r="D61" s="334"/>
      <c r="E61" s="334"/>
      <c r="F61" s="334"/>
      <c r="G61" s="334"/>
      <c r="H61" s="334"/>
      <c r="I61" s="334"/>
      <c r="J61" s="334"/>
    </row>
    <row r="62" spans="1:10" ht="19.5" customHeight="1">
      <c r="A62" s="279" t="s">
        <v>98</v>
      </c>
      <c r="B62" s="82">
        <f>'РУХ новый'!B103</f>
        <v>3600</v>
      </c>
      <c r="C62" s="271">
        <f>'РУХ новый'!C103</f>
        <v>57313</v>
      </c>
      <c r="D62" s="271">
        <f>'РУХ новый'!D103</f>
        <v>27996</v>
      </c>
      <c r="E62" s="271">
        <f>'РУХ новый'!I103</f>
        <v>49341</v>
      </c>
      <c r="F62" s="271">
        <f>'РУХ новый'!E103</f>
        <v>27996</v>
      </c>
      <c r="G62" s="271">
        <f>E67</f>
        <v>43415</v>
      </c>
      <c r="H62" s="271">
        <f>G67</f>
        <v>37193</v>
      </c>
      <c r="I62" s="271">
        <f>H67</f>
        <v>30659</v>
      </c>
      <c r="J62" s="271">
        <f>I67</f>
        <v>23799</v>
      </c>
    </row>
    <row r="63" spans="1:10" ht="37.5" customHeight="1">
      <c r="A63" s="84" t="s">
        <v>99</v>
      </c>
      <c r="B63" s="82">
        <f>'РУХ новый'!B31</f>
        <v>3090</v>
      </c>
      <c r="C63" s="271">
        <f>'РУХ новый'!C31</f>
        <v>-78987</v>
      </c>
      <c r="D63" s="271">
        <f>'РУХ новый'!D31</f>
        <v>-117734</v>
      </c>
      <c r="E63" s="271">
        <f>'РУХ новый'!I31</f>
        <v>-453667</v>
      </c>
      <c r="F63" s="271">
        <f>'РУХ новый'!E31</f>
        <v>-117734</v>
      </c>
      <c r="G63" s="94">
        <f>ROUND(E63*1.05,0)</f>
        <v>-476350</v>
      </c>
      <c r="H63" s="94">
        <f t="shared" ref="H63:J66" si="4">ROUND(G63*1.05,0)</f>
        <v>-500168</v>
      </c>
      <c r="I63" s="94">
        <f t="shared" si="4"/>
        <v>-525176</v>
      </c>
      <c r="J63" s="94">
        <f t="shared" si="4"/>
        <v>-551435</v>
      </c>
    </row>
    <row r="64" spans="1:10" ht="37.5" customHeight="1">
      <c r="A64" s="84" t="s">
        <v>100</v>
      </c>
      <c r="B64" s="82">
        <f>'РУХ новый'!B57</f>
        <v>3320</v>
      </c>
      <c r="C64" s="271">
        <f>'РУХ новый'!C57</f>
        <v>-391</v>
      </c>
      <c r="D64" s="271">
        <f>'РУХ новый'!D57</f>
        <v>130</v>
      </c>
      <c r="E64" s="271">
        <f>'РУХ новый'!I57</f>
        <v>0</v>
      </c>
      <c r="F64" s="271">
        <f>'РУХ новый'!E57</f>
        <v>130</v>
      </c>
      <c r="G64" s="94">
        <f>ROUND(E64*1.05,0)</f>
        <v>0</v>
      </c>
      <c r="H64" s="94">
        <f t="shared" si="4"/>
        <v>0</v>
      </c>
      <c r="I64" s="94">
        <f t="shared" si="4"/>
        <v>0</v>
      </c>
      <c r="J64" s="94">
        <f t="shared" si="4"/>
        <v>0</v>
      </c>
    </row>
    <row r="65" spans="1:10" ht="37.5" customHeight="1">
      <c r="A65" s="84" t="s">
        <v>101</v>
      </c>
      <c r="B65" s="82">
        <f>'РУХ новый'!B101</f>
        <v>3580</v>
      </c>
      <c r="C65" s="271">
        <f>'РУХ новый'!C101</f>
        <v>47464</v>
      </c>
      <c r="D65" s="271">
        <f>'РУХ новый'!D101</f>
        <v>141345</v>
      </c>
      <c r="E65" s="271">
        <f>'РУХ новый'!I101</f>
        <v>447741</v>
      </c>
      <c r="F65" s="271">
        <f>'РУХ новый'!E101</f>
        <v>138949</v>
      </c>
      <c r="G65" s="94">
        <f>ROUND(E65*1.05,0)</f>
        <v>470128</v>
      </c>
      <c r="H65" s="94">
        <f t="shared" si="4"/>
        <v>493634</v>
      </c>
      <c r="I65" s="94">
        <f t="shared" si="4"/>
        <v>518316</v>
      </c>
      <c r="J65" s="94">
        <f t="shared" si="4"/>
        <v>544232</v>
      </c>
    </row>
    <row r="66" spans="1:10" ht="37.5" customHeight="1">
      <c r="A66" s="84" t="s">
        <v>102</v>
      </c>
      <c r="B66" s="82">
        <f>'РУХ новый'!B104</f>
        <v>3610</v>
      </c>
      <c r="C66" s="271">
        <f>'РУХ новый'!C104</f>
        <v>-4377</v>
      </c>
      <c r="D66" s="271">
        <f>'РУХ новый'!D102</f>
        <v>0</v>
      </c>
      <c r="E66" s="271">
        <f>'РУХ новый'!I104</f>
        <v>0</v>
      </c>
      <c r="F66" s="271">
        <f>'РУХ новый'!J104</f>
        <v>0</v>
      </c>
      <c r="G66" s="94">
        <f>ROUND(E66*1.05,0)</f>
        <v>0</v>
      </c>
      <c r="H66" s="94">
        <f t="shared" si="4"/>
        <v>0</v>
      </c>
      <c r="I66" s="94">
        <f t="shared" si="4"/>
        <v>0</v>
      </c>
      <c r="J66" s="94">
        <f t="shared" si="4"/>
        <v>0</v>
      </c>
    </row>
    <row r="67" spans="1:10" ht="20.100000000000001" customHeight="1">
      <c r="A67" s="279" t="s">
        <v>103</v>
      </c>
      <c r="B67" s="82">
        <f>'РУХ новый'!B105</f>
        <v>3620</v>
      </c>
      <c r="C67" s="271">
        <f>'РУХ новый'!C105</f>
        <v>21022</v>
      </c>
      <c r="D67" s="271">
        <f>'РУХ новый'!D105</f>
        <v>51737</v>
      </c>
      <c r="E67" s="271">
        <f>'РУХ новый'!I105</f>
        <v>43415</v>
      </c>
      <c r="F67" s="271">
        <f>'РУХ новый'!E105</f>
        <v>49341</v>
      </c>
      <c r="G67" s="271">
        <f>SUM(G62:G66)</f>
        <v>37193</v>
      </c>
      <c r="H67" s="271">
        <f>SUM(H62:H66)</f>
        <v>30659</v>
      </c>
      <c r="I67" s="271">
        <f>SUM(I62:I66)</f>
        <v>23799</v>
      </c>
      <c r="J67" s="271">
        <f>SUM(J62:J66)</f>
        <v>16596</v>
      </c>
    </row>
    <row r="68" spans="1:10" ht="24.95" customHeight="1">
      <c r="A68" s="335" t="s">
        <v>104</v>
      </c>
      <c r="B68" s="335"/>
      <c r="C68" s="335"/>
      <c r="D68" s="335"/>
      <c r="E68" s="335"/>
      <c r="F68" s="335"/>
      <c r="G68" s="335"/>
      <c r="H68" s="335"/>
      <c r="I68" s="335"/>
      <c r="J68" s="335"/>
    </row>
    <row r="69" spans="1:10" ht="21.95" customHeight="1">
      <c r="A69" s="84" t="s">
        <v>105</v>
      </c>
      <c r="B69" s="82">
        <f>'IV. Кап. інвестиції'!B6</f>
        <v>4000</v>
      </c>
      <c r="C69" s="271">
        <f>'IV. Кап. інвестиції'!C6</f>
        <v>391</v>
      </c>
      <c r="D69" s="271">
        <f>'IV. Кап. інвестиції'!D6</f>
        <v>0</v>
      </c>
      <c r="E69" s="271">
        <f>'IV. Кап. інвестиції'!I6</f>
        <v>0</v>
      </c>
      <c r="F69" s="271">
        <f>'IV. Кап. інвестиції'!E6</f>
        <v>0</v>
      </c>
      <c r="G69" s="94">
        <f>ROUND(E69*1.053,0)</f>
        <v>0</v>
      </c>
      <c r="H69" s="94">
        <f>ROUND(G69*1.05,0)</f>
        <v>0</v>
      </c>
      <c r="I69" s="94">
        <f>ROUND(H69*1.05,0)</f>
        <v>0</v>
      </c>
      <c r="J69" s="94">
        <f>ROUND(I69*1.05,0)</f>
        <v>0</v>
      </c>
    </row>
    <row r="70" spans="1:10" ht="24.95" customHeight="1">
      <c r="A70" s="336" t="s">
        <v>106</v>
      </c>
      <c r="B70" s="336"/>
      <c r="C70" s="336"/>
      <c r="D70" s="336"/>
      <c r="E70" s="336"/>
      <c r="F70" s="336"/>
      <c r="G70" s="336"/>
      <c r="H70" s="336"/>
      <c r="I70" s="336"/>
      <c r="J70" s="336"/>
    </row>
    <row r="71" spans="1:10" ht="20.100000000000001" customHeight="1">
      <c r="A71" s="84" t="s">
        <v>107</v>
      </c>
      <c r="B71" s="82">
        <f>' V. Коефіцієнти'!B9</f>
        <v>5020</v>
      </c>
      <c r="C71" s="277">
        <f>' V. Коефіцієнти'!D9</f>
        <v>0.08</v>
      </c>
      <c r="D71" s="275">
        <f>D52/D78</f>
        <v>-8.5220899089072155E-2</v>
      </c>
      <c r="E71" s="275">
        <f>' V. Коефіцієнти'!G9</f>
        <v>-3.7185742153439345E-2</v>
      </c>
      <c r="F71" s="275">
        <f>' V. Коефіцієнти'!F9</f>
        <v>-4.6716635552956069E-2</v>
      </c>
      <c r="G71" s="285" t="s">
        <v>108</v>
      </c>
      <c r="H71" s="285" t="s">
        <v>108</v>
      </c>
      <c r="I71" s="285" t="s">
        <v>108</v>
      </c>
      <c r="J71" s="285" t="s">
        <v>108</v>
      </c>
    </row>
    <row r="72" spans="1:10" ht="40.35" customHeight="1">
      <c r="A72" s="84" t="s">
        <v>109</v>
      </c>
      <c r="B72" s="82">
        <f>' V. Коефіцієнти'!B10</f>
        <v>5030</v>
      </c>
      <c r="C72" s="277">
        <f>' V. Коефіцієнти'!D10</f>
        <v>-6.1</v>
      </c>
      <c r="D72" s="275">
        <f>D52/D84</f>
        <v>-0.62843208579204057</v>
      </c>
      <c r="E72" s="275">
        <f>' V. Коефіцієнти'!G10</f>
        <v>0.59573776882593721</v>
      </c>
      <c r="F72" s="275">
        <f>' V. Коефіцієнти'!F10</f>
        <v>1.8742365798778529</v>
      </c>
      <c r="G72" s="285" t="s">
        <v>108</v>
      </c>
      <c r="H72" s="285" t="s">
        <v>108</v>
      </c>
      <c r="I72" s="285" t="s">
        <v>108</v>
      </c>
      <c r="J72" s="285" t="s">
        <v>108</v>
      </c>
    </row>
    <row r="73" spans="1:10" ht="20.100000000000001" customHeight="1">
      <c r="A73" s="84" t="s">
        <v>110</v>
      </c>
      <c r="B73" s="82">
        <f>' V. Коефіцієнти'!B14</f>
        <v>5110</v>
      </c>
      <c r="C73" s="277">
        <f>' V. Коефіцієнти'!D14</f>
        <v>-0.01</v>
      </c>
      <c r="D73" s="275">
        <f>D84/(D79+D80)</f>
        <v>0.15688354948343788</v>
      </c>
      <c r="E73" s="271">
        <f>' V. Коефіцієнти'!G14</f>
        <v>-5.8752347650822254E-2</v>
      </c>
      <c r="F73" s="275">
        <f>' V. Коефіцієнти'!F14</f>
        <v>-2.4319507199699816E-2</v>
      </c>
      <c r="G73" s="285" t="s">
        <v>108</v>
      </c>
      <c r="H73" s="285" t="s">
        <v>108</v>
      </c>
      <c r="I73" s="285" t="s">
        <v>108</v>
      </c>
      <c r="J73" s="285" t="s">
        <v>108</v>
      </c>
    </row>
    <row r="74" spans="1:10" ht="24.95" customHeight="1">
      <c r="A74" s="334" t="s">
        <v>111</v>
      </c>
      <c r="B74" s="334"/>
      <c r="C74" s="334"/>
      <c r="D74" s="334"/>
      <c r="E74" s="334"/>
      <c r="F74" s="334"/>
      <c r="G74" s="334"/>
      <c r="H74" s="334"/>
      <c r="I74" s="334"/>
      <c r="J74" s="334"/>
    </row>
    <row r="75" spans="1:10" ht="20.100000000000001" customHeight="1">
      <c r="A75" s="84" t="s">
        <v>112</v>
      </c>
      <c r="B75" s="82">
        <v>6000</v>
      </c>
      <c r="C75" s="96">
        <v>3007</v>
      </c>
      <c r="D75" s="94">
        <v>1095</v>
      </c>
      <c r="E75" s="286">
        <f>F75+E69-'I. Фін результат'!I149</f>
        <v>14315</v>
      </c>
      <c r="F75" s="94">
        <v>14402</v>
      </c>
      <c r="G75" s="287" t="s">
        <v>108</v>
      </c>
      <c r="H75" s="287" t="s">
        <v>108</v>
      </c>
      <c r="I75" s="287" t="s">
        <v>108</v>
      </c>
      <c r="J75" s="287" t="s">
        <v>108</v>
      </c>
    </row>
    <row r="76" spans="1:10" ht="20.100000000000001" customHeight="1">
      <c r="A76" s="84" t="s">
        <v>113</v>
      </c>
      <c r="B76" s="82">
        <v>6010</v>
      </c>
      <c r="C76" s="96">
        <v>430725</v>
      </c>
      <c r="D76" s="94">
        <v>272582</v>
      </c>
      <c r="E76" s="94">
        <f>E77-'РУХ новый'!I18-E55</f>
        <v>478831</v>
      </c>
      <c r="F76" s="94">
        <v>484842</v>
      </c>
      <c r="G76" s="287" t="s">
        <v>108</v>
      </c>
      <c r="H76" s="287" t="s">
        <v>108</v>
      </c>
      <c r="I76" s="287" t="s">
        <v>108</v>
      </c>
      <c r="J76" s="287" t="s">
        <v>108</v>
      </c>
    </row>
    <row r="77" spans="1:10" ht="37.5" customHeight="1">
      <c r="A77" s="84" t="s">
        <v>114</v>
      </c>
      <c r="B77" s="82">
        <v>6020</v>
      </c>
      <c r="C77" s="96">
        <f>'РУХ новый'!C105</f>
        <v>21022</v>
      </c>
      <c r="D77" s="96">
        <v>51737</v>
      </c>
      <c r="E77" s="94">
        <f>'РУХ новый'!I105</f>
        <v>43415</v>
      </c>
      <c r="F77" s="96">
        <f>'РУХ новый'!E105</f>
        <v>49341</v>
      </c>
      <c r="G77" s="287" t="s">
        <v>108</v>
      </c>
      <c r="H77" s="287" t="s">
        <v>108</v>
      </c>
      <c r="I77" s="287" t="s">
        <v>108</v>
      </c>
      <c r="J77" s="287" t="s">
        <v>108</v>
      </c>
    </row>
    <row r="78" spans="1:10" s="88" customFormat="1" ht="21.95" customHeight="1">
      <c r="A78" s="279" t="s">
        <v>115</v>
      </c>
      <c r="B78" s="82">
        <v>6030</v>
      </c>
      <c r="C78" s="96">
        <f>C75+C76</f>
        <v>433732</v>
      </c>
      <c r="D78" s="94">
        <f>D75+D76</f>
        <v>273677</v>
      </c>
      <c r="E78" s="94">
        <f>E75+E76</f>
        <v>493146</v>
      </c>
      <c r="F78" s="94">
        <f>F75+F76</f>
        <v>499244</v>
      </c>
      <c r="G78" s="287" t="s">
        <v>108</v>
      </c>
      <c r="H78" s="287" t="s">
        <v>108</v>
      </c>
      <c r="I78" s="287" t="s">
        <v>108</v>
      </c>
      <c r="J78" s="287" t="s">
        <v>108</v>
      </c>
    </row>
    <row r="79" spans="1:10" ht="21.95" customHeight="1">
      <c r="A79" s="84" t="s">
        <v>116</v>
      </c>
      <c r="B79" s="82">
        <v>6040</v>
      </c>
      <c r="C79" s="96">
        <v>366396</v>
      </c>
      <c r="D79" s="94">
        <v>120080</v>
      </c>
      <c r="E79" s="94">
        <f>E83</f>
        <v>425000</v>
      </c>
      <c r="F79" s="94">
        <v>398300</v>
      </c>
      <c r="G79" s="287" t="s">
        <v>108</v>
      </c>
      <c r="H79" s="287" t="s">
        <v>108</v>
      </c>
      <c r="I79" s="287" t="s">
        <v>108</v>
      </c>
      <c r="J79" s="287" t="s">
        <v>108</v>
      </c>
    </row>
    <row r="80" spans="1:10" ht="21.95" customHeight="1">
      <c r="A80" s="84" t="s">
        <v>117</v>
      </c>
      <c r="B80" s="82">
        <v>6050</v>
      </c>
      <c r="C80" s="96">
        <v>73020</v>
      </c>
      <c r="D80" s="94">
        <v>116484</v>
      </c>
      <c r="E80" s="94">
        <v>98928</v>
      </c>
      <c r="F80" s="94">
        <v>113388</v>
      </c>
      <c r="G80" s="287" t="s">
        <v>108</v>
      </c>
      <c r="H80" s="287" t="s">
        <v>108</v>
      </c>
      <c r="I80" s="287" t="s">
        <v>108</v>
      </c>
      <c r="J80" s="287" t="s">
        <v>108</v>
      </c>
    </row>
    <row r="81" spans="1:11" s="88" customFormat="1" ht="21.95" customHeight="1">
      <c r="A81" s="279" t="s">
        <v>118</v>
      </c>
      <c r="B81" s="82">
        <v>6060</v>
      </c>
      <c r="C81" s="223">
        <f>SUM(C79:C80)</f>
        <v>439416</v>
      </c>
      <c r="D81" s="288">
        <f>D79+D80</f>
        <v>236564</v>
      </c>
      <c r="E81" s="288">
        <f>SUM(E79:E80)</f>
        <v>523928</v>
      </c>
      <c r="F81" s="288">
        <f>F79+F80</f>
        <v>511688</v>
      </c>
      <c r="G81" s="287" t="s">
        <v>108</v>
      </c>
      <c r="H81" s="287" t="s">
        <v>108</v>
      </c>
      <c r="I81" s="287" t="s">
        <v>108</v>
      </c>
      <c r="J81" s="287" t="s">
        <v>108</v>
      </c>
    </row>
    <row r="82" spans="1:11" ht="21.95" customHeight="1">
      <c r="A82" s="84" t="s">
        <v>119</v>
      </c>
      <c r="B82" s="82">
        <v>6070</v>
      </c>
      <c r="C82" s="96">
        <v>0</v>
      </c>
      <c r="D82" s="94">
        <v>0</v>
      </c>
      <c r="E82" s="94">
        <v>0</v>
      </c>
      <c r="F82" s="94">
        <v>0</v>
      </c>
      <c r="G82" s="287" t="s">
        <v>108</v>
      </c>
      <c r="H82" s="287" t="s">
        <v>108</v>
      </c>
      <c r="I82" s="287" t="s">
        <v>108</v>
      </c>
      <c r="J82" s="287" t="s">
        <v>108</v>
      </c>
    </row>
    <row r="83" spans="1:11" ht="21.95" customHeight="1">
      <c r="A83" s="84" t="s">
        <v>120</v>
      </c>
      <c r="B83" s="82">
        <v>6080</v>
      </c>
      <c r="C83" s="96">
        <v>327535</v>
      </c>
      <c r="D83" s="94">
        <v>120080</v>
      </c>
      <c r="E83" s="94">
        <f>'РУХ новый'!I62</f>
        <v>425000</v>
      </c>
      <c r="F83" s="94">
        <v>120080</v>
      </c>
      <c r="G83" s="287" t="s">
        <v>108</v>
      </c>
      <c r="H83" s="287" t="s">
        <v>108</v>
      </c>
      <c r="I83" s="287" t="s">
        <v>108</v>
      </c>
      <c r="J83" s="287" t="s">
        <v>108</v>
      </c>
    </row>
    <row r="84" spans="1:11" s="88" customFormat="1" ht="21.95" customHeight="1">
      <c r="A84" s="279" t="s">
        <v>121</v>
      </c>
      <c r="B84" s="82">
        <v>6090</v>
      </c>
      <c r="C84" s="94">
        <f>C78-C81</f>
        <v>-5684</v>
      </c>
      <c r="D84" s="94">
        <f>D78-D81</f>
        <v>37113</v>
      </c>
      <c r="E84" s="288">
        <f>F84+E52+'РУХ новый'!I76-E55</f>
        <v>-30782</v>
      </c>
      <c r="F84" s="94">
        <f>F78-F81</f>
        <v>-12444</v>
      </c>
      <c r="G84" s="287" t="s">
        <v>108</v>
      </c>
      <c r="H84" s="287" t="s">
        <v>108</v>
      </c>
      <c r="I84" s="287" t="s">
        <v>108</v>
      </c>
      <c r="J84" s="287" t="s">
        <v>108</v>
      </c>
    </row>
    <row r="85" spans="1:11" s="88" customFormat="1" ht="24.95" customHeight="1">
      <c r="A85" s="289"/>
      <c r="B85" s="67"/>
      <c r="C85" s="290"/>
      <c r="D85" s="291"/>
      <c r="E85" s="292"/>
      <c r="F85" s="291"/>
      <c r="G85" s="168"/>
      <c r="H85" s="168"/>
      <c r="I85" s="168"/>
      <c r="J85" s="168"/>
    </row>
    <row r="86" spans="1:11" ht="24.95" customHeight="1">
      <c r="A86" s="133"/>
      <c r="B86" s="67"/>
      <c r="C86" s="168"/>
      <c r="D86" s="237"/>
      <c r="E86" s="293"/>
      <c r="F86" s="237"/>
      <c r="G86" s="237"/>
      <c r="H86" s="237"/>
      <c r="I86" s="237"/>
      <c r="J86" s="237"/>
    </row>
    <row r="87" spans="1:11" ht="36" customHeight="1">
      <c r="A87" s="133" t="s">
        <v>122</v>
      </c>
      <c r="B87" s="67"/>
      <c r="C87" s="337" t="s">
        <v>123</v>
      </c>
      <c r="D87" s="337"/>
      <c r="E87" s="337"/>
      <c r="F87" s="337"/>
      <c r="G87" s="337"/>
      <c r="H87" s="338" t="s">
        <v>124</v>
      </c>
      <c r="I87" s="338"/>
      <c r="J87" s="338"/>
      <c r="K87" s="296"/>
    </row>
    <row r="88" spans="1:11" s="39" customFormat="1" ht="21" customHeight="1">
      <c r="A88" s="294" t="s">
        <v>125</v>
      </c>
      <c r="B88" s="295"/>
      <c r="C88" s="339" t="s">
        <v>126</v>
      </c>
      <c r="D88" s="339"/>
      <c r="E88" s="339"/>
      <c r="F88" s="339"/>
      <c r="G88" s="339"/>
      <c r="H88" s="339" t="s">
        <v>127</v>
      </c>
      <c r="I88" s="339"/>
      <c r="J88" s="339"/>
    </row>
  </sheetData>
  <mergeCells count="48">
    <mergeCell ref="A70:J70"/>
    <mergeCell ref="A74:J74"/>
    <mergeCell ref="C87:G87"/>
    <mergeCell ref="H87:J87"/>
    <mergeCell ref="C88:G88"/>
    <mergeCell ref="H88:J88"/>
    <mergeCell ref="G35:J35"/>
    <mergeCell ref="A38:J38"/>
    <mergeCell ref="A54:J54"/>
    <mergeCell ref="A61:J61"/>
    <mergeCell ref="A68:J68"/>
    <mergeCell ref="A35:A36"/>
    <mergeCell ref="B35:B36"/>
    <mergeCell ref="C35:C36"/>
    <mergeCell ref="D35:D36"/>
    <mergeCell ref="E35:E36"/>
    <mergeCell ref="F35:F36"/>
    <mergeCell ref="B25:F25"/>
    <mergeCell ref="B26:F26"/>
    <mergeCell ref="B27:F27"/>
    <mergeCell ref="A31:J31"/>
    <mergeCell ref="A33:J33"/>
    <mergeCell ref="A22:F22"/>
    <mergeCell ref="G22:I22"/>
    <mergeCell ref="B23:F23"/>
    <mergeCell ref="G23:I23"/>
    <mergeCell ref="A24:F24"/>
    <mergeCell ref="B17:F17"/>
    <mergeCell ref="B18:F18"/>
    <mergeCell ref="B19:F19"/>
    <mergeCell ref="B20:F20"/>
    <mergeCell ref="B21:F21"/>
    <mergeCell ref="F9:J9"/>
    <mergeCell ref="F10:J10"/>
    <mergeCell ref="F11:J11"/>
    <mergeCell ref="B15:F15"/>
    <mergeCell ref="B16:F16"/>
    <mergeCell ref="A6:B6"/>
    <mergeCell ref="F6:J6"/>
    <mergeCell ref="A7:B7"/>
    <mergeCell ref="F7:J7"/>
    <mergeCell ref="F8:J8"/>
    <mergeCell ref="A2:B2"/>
    <mergeCell ref="A3:B3"/>
    <mergeCell ref="A4:B4"/>
    <mergeCell ref="A5:B5"/>
    <mergeCell ref="G5:H5"/>
    <mergeCell ref="F2:J4"/>
  </mergeCells>
  <pageMargins left="1.1812499999999999" right="0.39374999999999999" top="0.64791666666666703" bottom="0.59027777777777801" header="0.51180555555555496" footer="0.51180555555555496"/>
  <pageSetup paperSize="9" scale="45" firstPageNumber="0" orientation="portrait" useFirstPageNumber="1" horizontalDpi="300" verticalDpi="300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S1048576"/>
  <sheetViews>
    <sheetView topLeftCell="A77" zoomScale="65" zoomScaleNormal="65" workbookViewId="0">
      <selection activeCell="I84" sqref="I84"/>
    </sheetView>
  </sheetViews>
  <sheetFormatPr defaultColWidth="9" defaultRowHeight="18.75"/>
  <cols>
    <col min="1" max="1" width="48.28515625" style="79" customWidth="1"/>
    <col min="2" max="2" width="14.85546875" style="40" customWidth="1"/>
    <col min="3" max="3" width="16" style="40" customWidth="1"/>
    <col min="4" max="4" width="15.85546875" style="40" customWidth="1"/>
    <col min="5" max="5" width="13.42578125" style="40" customWidth="1"/>
    <col min="6" max="6" width="13" style="191" customWidth="1"/>
    <col min="7" max="7" width="14.5703125" style="79" customWidth="1"/>
    <col min="8" max="8" width="16.7109375" style="79" customWidth="1"/>
    <col min="9" max="9" width="15.140625" style="79" customWidth="1"/>
    <col min="10" max="10" width="29" style="79" customWidth="1"/>
    <col min="11" max="11" width="10.28515625" style="192" hidden="1" customWidth="1"/>
    <col min="12" max="12" width="16.85546875" style="192" hidden="1" customWidth="1"/>
    <col min="13" max="13" width="19.85546875" style="192" hidden="1" customWidth="1"/>
    <col min="14" max="14" width="16.28515625" style="192" hidden="1" customWidth="1"/>
    <col min="15" max="253" width="9.140625" style="79" customWidth="1"/>
    <col min="254" max="1020" width="9.140625" customWidth="1"/>
    <col min="1021" max="1025" width="11.5703125"/>
  </cols>
  <sheetData>
    <row r="1" spans="1:14" ht="18.75" customHeight="1">
      <c r="A1" s="343" t="s">
        <v>128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4" ht="19.350000000000001" customHeight="1">
      <c r="A2" s="193"/>
      <c r="B2" s="194"/>
      <c r="C2" s="193"/>
      <c r="D2" s="193"/>
      <c r="E2" s="194"/>
      <c r="F2" s="195"/>
      <c r="G2" s="193"/>
      <c r="H2" s="193"/>
      <c r="I2" s="193"/>
      <c r="J2" s="207"/>
    </row>
    <row r="3" spans="1:14" ht="36" customHeight="1">
      <c r="A3" s="348" t="s">
        <v>61</v>
      </c>
      <c r="B3" s="344" t="s">
        <v>62</v>
      </c>
      <c r="C3" s="344" t="s">
        <v>63</v>
      </c>
      <c r="D3" s="349" t="s">
        <v>64</v>
      </c>
      <c r="E3" s="350" t="s">
        <v>66</v>
      </c>
      <c r="F3" s="344" t="s">
        <v>129</v>
      </c>
      <c r="G3" s="344"/>
      <c r="H3" s="344"/>
      <c r="I3" s="344"/>
      <c r="J3" s="344" t="s">
        <v>130</v>
      </c>
    </row>
    <row r="4" spans="1:14" ht="55.35" customHeight="1">
      <c r="A4" s="348"/>
      <c r="B4" s="344"/>
      <c r="C4" s="344"/>
      <c r="D4" s="349"/>
      <c r="E4" s="350"/>
      <c r="F4" s="198" t="s">
        <v>131</v>
      </c>
      <c r="G4" s="198" t="s">
        <v>7</v>
      </c>
      <c r="H4" s="198" t="s">
        <v>8</v>
      </c>
      <c r="I4" s="198" t="s">
        <v>9</v>
      </c>
      <c r="J4" s="344"/>
    </row>
    <row r="5" spans="1:14" ht="18" customHeight="1">
      <c r="A5" s="196">
        <v>1</v>
      </c>
      <c r="B5" s="197">
        <v>2</v>
      </c>
      <c r="C5" s="197">
        <v>3</v>
      </c>
      <c r="D5" s="197">
        <v>4</v>
      </c>
      <c r="E5" s="197">
        <v>5</v>
      </c>
      <c r="F5" s="197">
        <v>6</v>
      </c>
      <c r="G5" s="197">
        <v>7</v>
      </c>
      <c r="H5" s="197">
        <v>8</v>
      </c>
      <c r="I5" s="197">
        <v>9</v>
      </c>
      <c r="J5" s="197">
        <v>10</v>
      </c>
    </row>
    <row r="6" spans="1:14" s="88" customFormat="1" ht="20.100000000000001" customHeight="1">
      <c r="A6" s="345" t="s">
        <v>132</v>
      </c>
      <c r="B6" s="345"/>
      <c r="C6" s="345"/>
      <c r="D6" s="345"/>
      <c r="E6" s="345"/>
      <c r="F6" s="345"/>
      <c r="G6" s="345"/>
      <c r="H6" s="345"/>
      <c r="I6" s="345"/>
      <c r="J6" s="345"/>
      <c r="K6" s="208"/>
      <c r="L6" s="208"/>
      <c r="M6" s="208"/>
      <c r="N6" s="208"/>
    </row>
    <row r="7" spans="1:14" s="88" customFormat="1" ht="42" customHeight="1">
      <c r="A7" s="199" t="s">
        <v>133</v>
      </c>
      <c r="B7" s="200">
        <v>1000</v>
      </c>
      <c r="C7" s="184">
        <f>C9</f>
        <v>0</v>
      </c>
      <c r="D7" s="184">
        <f t="shared" ref="D7:I7" si="0">D8+D9</f>
        <v>150</v>
      </c>
      <c r="E7" s="184">
        <f t="shared" si="0"/>
        <v>150</v>
      </c>
      <c r="F7" s="184">
        <f t="shared" si="0"/>
        <v>34</v>
      </c>
      <c r="G7" s="184">
        <f t="shared" si="0"/>
        <v>68</v>
      </c>
      <c r="H7" s="184">
        <f t="shared" si="0"/>
        <v>109</v>
      </c>
      <c r="I7" s="184">
        <f t="shared" si="0"/>
        <v>150</v>
      </c>
      <c r="J7" s="209"/>
      <c r="K7" s="208"/>
      <c r="L7" s="208"/>
      <c r="M7" s="208"/>
      <c r="N7" s="208"/>
    </row>
    <row r="8" spans="1:14" s="88" customFormat="1" ht="56.45" customHeight="1">
      <c r="A8" s="93" t="s">
        <v>134</v>
      </c>
      <c r="B8" s="201" t="s">
        <v>135</v>
      </c>
      <c r="C8" s="96" t="s">
        <v>136</v>
      </c>
      <c r="D8" s="96">
        <v>0</v>
      </c>
      <c r="E8" s="96">
        <v>0</v>
      </c>
      <c r="F8" s="96"/>
      <c r="G8" s="96"/>
      <c r="H8" s="96"/>
      <c r="I8" s="96"/>
      <c r="J8" s="210"/>
      <c r="K8" s="208"/>
      <c r="L8" s="208"/>
      <c r="M8" s="208"/>
      <c r="N8" s="208"/>
    </row>
    <row r="9" spans="1:14" s="88" customFormat="1" ht="83.1" customHeight="1">
      <c r="A9" s="93" t="s">
        <v>137</v>
      </c>
      <c r="B9" s="201" t="s">
        <v>138</v>
      </c>
      <c r="C9" s="96"/>
      <c r="D9" s="96">
        <v>150</v>
      </c>
      <c r="E9" s="96">
        <v>150</v>
      </c>
      <c r="F9" s="96">
        <v>34</v>
      </c>
      <c r="G9" s="96">
        <v>68</v>
      </c>
      <c r="H9" s="96">
        <v>109</v>
      </c>
      <c r="I9" s="96">
        <v>150</v>
      </c>
      <c r="J9" s="211"/>
      <c r="K9" s="212"/>
      <c r="L9" s="213"/>
      <c r="M9" s="213"/>
      <c r="N9" s="208"/>
    </row>
    <row r="10" spans="1:14" ht="59.1" customHeight="1">
      <c r="A10" s="199" t="s">
        <v>139</v>
      </c>
      <c r="B10" s="200">
        <v>1010</v>
      </c>
      <c r="C10" s="184">
        <f t="shared" ref="C10:I10" si="1">SUM(C11:C18)</f>
        <v>0</v>
      </c>
      <c r="D10" s="184">
        <f t="shared" si="1"/>
        <v>218</v>
      </c>
      <c r="E10" s="184">
        <f t="shared" si="1"/>
        <v>218</v>
      </c>
      <c r="F10" s="184">
        <f t="shared" si="1"/>
        <v>54</v>
      </c>
      <c r="G10" s="184">
        <f t="shared" si="1"/>
        <v>107.3</v>
      </c>
      <c r="H10" s="184">
        <f t="shared" si="1"/>
        <v>161</v>
      </c>
      <c r="I10" s="184">
        <f t="shared" si="1"/>
        <v>214</v>
      </c>
      <c r="J10" s="211"/>
    </row>
    <row r="11" spans="1:14" s="39" customFormat="1" ht="42.95" customHeight="1">
      <c r="A11" s="93" t="s">
        <v>140</v>
      </c>
      <c r="B11" s="95">
        <v>1011</v>
      </c>
      <c r="C11" s="96"/>
      <c r="D11" s="96">
        <v>2</v>
      </c>
      <c r="E11" s="96">
        <v>2</v>
      </c>
      <c r="F11" s="96"/>
      <c r="G11" s="96"/>
      <c r="H11" s="96"/>
      <c r="I11" s="96"/>
      <c r="J11" s="211"/>
      <c r="K11" s="214"/>
      <c r="L11" s="214"/>
      <c r="M11" s="214"/>
      <c r="N11" s="214"/>
    </row>
    <row r="12" spans="1:14" s="39" customFormat="1" ht="21.95" customHeight="1">
      <c r="A12" s="93" t="s">
        <v>141</v>
      </c>
      <c r="B12" s="95">
        <v>1012</v>
      </c>
      <c r="C12" s="96"/>
      <c r="D12" s="96"/>
      <c r="E12" s="96"/>
      <c r="F12" s="96"/>
      <c r="G12" s="96"/>
      <c r="H12" s="96"/>
      <c r="I12" s="96"/>
      <c r="J12" s="211"/>
      <c r="K12" s="214"/>
      <c r="L12" s="214"/>
      <c r="M12" s="214"/>
      <c r="N12" s="214"/>
    </row>
    <row r="13" spans="1:14" s="39" customFormat="1" ht="21.95" customHeight="1">
      <c r="A13" s="93" t="s">
        <v>142</v>
      </c>
      <c r="B13" s="95">
        <v>1013</v>
      </c>
      <c r="C13" s="96"/>
      <c r="D13" s="96"/>
      <c r="E13" s="96"/>
      <c r="F13" s="96"/>
      <c r="G13" s="96"/>
      <c r="H13" s="96"/>
      <c r="I13" s="96"/>
      <c r="J13" s="211"/>
      <c r="K13" s="214"/>
      <c r="L13" s="214"/>
      <c r="M13" s="214"/>
      <c r="N13" s="214"/>
    </row>
    <row r="14" spans="1:14" s="39" customFormat="1" ht="21.95" customHeight="1">
      <c r="A14" s="93" t="s">
        <v>143</v>
      </c>
      <c r="B14" s="95">
        <v>1014</v>
      </c>
      <c r="C14" s="96"/>
      <c r="D14" s="96">
        <v>177</v>
      </c>
      <c r="E14" s="96">
        <f>D14</f>
        <v>177</v>
      </c>
      <c r="F14" s="94">
        <f t="shared" ref="F14:I15" si="2">K14</f>
        <v>44</v>
      </c>
      <c r="G14" s="94">
        <f t="shared" si="2"/>
        <v>88</v>
      </c>
      <c r="H14" s="94">
        <f t="shared" si="2"/>
        <v>132</v>
      </c>
      <c r="I14" s="94">
        <f t="shared" si="2"/>
        <v>175</v>
      </c>
      <c r="J14" s="211"/>
      <c r="K14" s="215">
        <f>ROUND(Лист3!K35/1000,0)</f>
        <v>44</v>
      </c>
      <c r="L14" s="215">
        <f>ROUND(Лист3!L35/1000,0)</f>
        <v>88</v>
      </c>
      <c r="M14" s="215">
        <f>ROUND(Лист3!M35/1000,0)</f>
        <v>132</v>
      </c>
      <c r="N14" s="215">
        <f>ROUND(Лист3!N35/1000,0)-1</f>
        <v>175</v>
      </c>
    </row>
    <row r="15" spans="1:14" s="39" customFormat="1" ht="21.95" customHeight="1">
      <c r="A15" s="93" t="s">
        <v>144</v>
      </c>
      <c r="B15" s="95">
        <v>1015</v>
      </c>
      <c r="C15" s="96"/>
      <c r="D15" s="96">
        <v>39</v>
      </c>
      <c r="E15" s="96">
        <v>39</v>
      </c>
      <c r="F15" s="94">
        <f t="shared" si="2"/>
        <v>10</v>
      </c>
      <c r="G15" s="94">
        <f t="shared" si="2"/>
        <v>19.3</v>
      </c>
      <c r="H15" s="96">
        <f t="shared" si="2"/>
        <v>29</v>
      </c>
      <c r="I15" s="96">
        <f t="shared" si="2"/>
        <v>39</v>
      </c>
      <c r="J15" s="211"/>
      <c r="K15" s="215">
        <f>ROUND(Лист3!K36/1000,0)</f>
        <v>10</v>
      </c>
      <c r="L15" s="215">
        <f>ROUND(Лист3!L36/1000,1)</f>
        <v>19.3</v>
      </c>
      <c r="M15" s="215">
        <f>ROUND(Лист3!M36/1000,0)</f>
        <v>29</v>
      </c>
      <c r="N15" s="215">
        <f>ROUND(Лист3!N36/1000,0)</f>
        <v>39</v>
      </c>
    </row>
    <row r="16" spans="1:14" s="39" customFormat="1" ht="98.1" customHeight="1">
      <c r="A16" s="93" t="s">
        <v>145</v>
      </c>
      <c r="B16" s="95">
        <v>1016</v>
      </c>
      <c r="C16" s="96"/>
      <c r="D16" s="96"/>
      <c r="E16" s="96"/>
      <c r="F16" s="96"/>
      <c r="G16" s="96"/>
      <c r="H16" s="96"/>
      <c r="I16" s="96"/>
      <c r="J16" s="211"/>
      <c r="K16" s="214"/>
      <c r="L16" s="214"/>
      <c r="M16" s="214"/>
      <c r="N16" s="214"/>
    </row>
    <row r="17" spans="1:14" s="39" customFormat="1" ht="42" customHeight="1">
      <c r="A17" s="93" t="s">
        <v>146</v>
      </c>
      <c r="B17" s="95">
        <v>1017</v>
      </c>
      <c r="C17" s="96"/>
      <c r="D17" s="96"/>
      <c r="E17" s="96"/>
      <c r="F17" s="96"/>
      <c r="G17" s="94"/>
      <c r="H17" s="94"/>
      <c r="I17" s="94"/>
      <c r="J17" s="211"/>
      <c r="K17" s="214"/>
      <c r="L17" s="214"/>
      <c r="M17" s="214"/>
      <c r="N17" s="214"/>
    </row>
    <row r="18" spans="1:14" s="39" customFormat="1" ht="21.95" customHeight="1">
      <c r="A18" s="93" t="s">
        <v>147</v>
      </c>
      <c r="B18" s="95">
        <v>1018</v>
      </c>
      <c r="C18" s="96"/>
      <c r="D18" s="96">
        <f t="shared" ref="D18:I18" si="3">D19</f>
        <v>0</v>
      </c>
      <c r="E18" s="96">
        <f t="shared" si="3"/>
        <v>0</v>
      </c>
      <c r="F18" s="96">
        <f t="shared" si="3"/>
        <v>0</v>
      </c>
      <c r="G18" s="96">
        <f t="shared" si="3"/>
        <v>0</v>
      </c>
      <c r="H18" s="96">
        <f t="shared" si="3"/>
        <v>0</v>
      </c>
      <c r="I18" s="96">
        <f t="shared" si="3"/>
        <v>0</v>
      </c>
      <c r="J18" s="211"/>
      <c r="K18" s="214"/>
      <c r="L18" s="214"/>
      <c r="M18" s="214"/>
      <c r="N18" s="214"/>
    </row>
    <row r="19" spans="1:14" s="39" customFormat="1" ht="18.95" hidden="1" customHeight="1">
      <c r="A19" s="93" t="s">
        <v>148</v>
      </c>
      <c r="B19" s="95" t="s">
        <v>149</v>
      </c>
      <c r="C19" s="96"/>
      <c r="D19" s="96">
        <v>0</v>
      </c>
      <c r="E19" s="96"/>
      <c r="F19" s="96"/>
      <c r="G19" s="96"/>
      <c r="H19" s="96"/>
      <c r="I19" s="96"/>
      <c r="J19" s="211"/>
      <c r="K19" s="214"/>
      <c r="L19" s="214"/>
      <c r="M19" s="214"/>
      <c r="N19" s="214"/>
    </row>
    <row r="20" spans="1:14" s="88" customFormat="1" ht="21.95" customHeight="1">
      <c r="A20" s="202" t="s">
        <v>150</v>
      </c>
      <c r="B20" s="203">
        <v>1020</v>
      </c>
      <c r="C20" s="204">
        <f t="shared" ref="C20:I20" si="4">C7-C10</f>
        <v>0</v>
      </c>
      <c r="D20" s="204">
        <f t="shared" si="4"/>
        <v>-68</v>
      </c>
      <c r="E20" s="204">
        <f t="shared" si="4"/>
        <v>-68</v>
      </c>
      <c r="F20" s="204">
        <f t="shared" si="4"/>
        <v>-20</v>
      </c>
      <c r="G20" s="204">
        <f t="shared" si="4"/>
        <v>-39.299999999999997</v>
      </c>
      <c r="H20" s="204">
        <f t="shared" si="4"/>
        <v>-52</v>
      </c>
      <c r="I20" s="204">
        <f t="shared" si="4"/>
        <v>-64</v>
      </c>
      <c r="J20" s="210"/>
      <c r="K20" s="208"/>
      <c r="L20" s="208"/>
      <c r="M20" s="208"/>
      <c r="N20" s="208"/>
    </row>
    <row r="21" spans="1:14" ht="45" customHeight="1">
      <c r="A21" s="199" t="s">
        <v>151</v>
      </c>
      <c r="B21" s="200">
        <v>1030</v>
      </c>
      <c r="C21" s="183">
        <f>C22+C23+C24</f>
        <v>36970</v>
      </c>
      <c r="D21" s="183">
        <f>D22+D23</f>
        <v>0</v>
      </c>
      <c r="E21" s="183">
        <f>E22+E23</f>
        <v>0</v>
      </c>
      <c r="F21" s="183">
        <f>F22+F23+F25+F24</f>
        <v>19564</v>
      </c>
      <c r="G21" s="183">
        <f>G22+G23+G25+G24</f>
        <v>22684</v>
      </c>
      <c r="H21" s="183">
        <f>H22+H23+H25+H24</f>
        <v>45688</v>
      </c>
      <c r="I21" s="183">
        <f>I22+I23+I25+I24</f>
        <v>46582</v>
      </c>
      <c r="J21" s="211"/>
    </row>
    <row r="22" spans="1:14" ht="20.100000000000001" hidden="1" customHeight="1">
      <c r="A22" s="93" t="s">
        <v>152</v>
      </c>
      <c r="B22" s="160" t="s">
        <v>153</v>
      </c>
      <c r="C22" s="96"/>
      <c r="D22" s="96"/>
      <c r="E22" s="96"/>
      <c r="F22" s="205"/>
      <c r="G22" s="205"/>
      <c r="H22" s="205"/>
      <c r="I22" s="205"/>
      <c r="J22" s="211"/>
    </row>
    <row r="23" spans="1:14" ht="23.25" customHeight="1">
      <c r="A23" s="93" t="s">
        <v>154</v>
      </c>
      <c r="B23" s="160">
        <v>1031</v>
      </c>
      <c r="C23" s="96">
        <v>36970</v>
      </c>
      <c r="D23" s="96"/>
      <c r="E23" s="96"/>
      <c r="F23" s="206"/>
      <c r="G23" s="206"/>
      <c r="H23" s="206"/>
      <c r="I23" s="206"/>
      <c r="J23" s="216"/>
    </row>
    <row r="24" spans="1:14" ht="63" customHeight="1">
      <c r="A24" s="93" t="s">
        <v>155</v>
      </c>
      <c r="B24" s="160">
        <v>1032</v>
      </c>
      <c r="C24" s="96"/>
      <c r="D24" s="96"/>
      <c r="F24" s="96">
        <f>20390-2100</f>
        <v>18290</v>
      </c>
      <c r="G24" s="96">
        <f>22286-2100</f>
        <v>20186</v>
      </c>
      <c r="H24" s="96">
        <f>44069-2100</f>
        <v>41969</v>
      </c>
      <c r="I24" s="96">
        <f>44690-2100</f>
        <v>42590</v>
      </c>
      <c r="J24" s="211"/>
    </row>
    <row r="25" spans="1:14" ht="87" customHeight="1">
      <c r="A25" s="93" t="s">
        <v>156</v>
      </c>
      <c r="B25" s="160">
        <v>1033</v>
      </c>
      <c r="C25" s="96"/>
      <c r="D25" s="96"/>
      <c r="E25" s="96"/>
      <c r="F25" s="96">
        <v>1274</v>
      </c>
      <c r="G25" s="96">
        <v>2498</v>
      </c>
      <c r="H25" s="96">
        <v>3719</v>
      </c>
      <c r="I25" s="96">
        <v>3992</v>
      </c>
      <c r="J25" s="211"/>
    </row>
    <row r="26" spans="1:14" ht="37.5" customHeight="1">
      <c r="A26" s="199" t="s">
        <v>157</v>
      </c>
      <c r="B26" s="200">
        <v>1040</v>
      </c>
      <c r="C26" s="184">
        <f t="shared" ref="C26:I26" si="5">SUM(C27:C40)+C43+C44+C46+C50</f>
        <v>5908</v>
      </c>
      <c r="D26" s="184">
        <f t="shared" si="5"/>
        <v>7154</v>
      </c>
      <c r="E26" s="184">
        <f t="shared" si="5"/>
        <v>7154</v>
      </c>
      <c r="F26" s="184">
        <f t="shared" si="5"/>
        <v>2304</v>
      </c>
      <c r="G26" s="184">
        <f t="shared" si="5"/>
        <v>3961</v>
      </c>
      <c r="H26" s="184">
        <f t="shared" si="5"/>
        <v>6399</v>
      </c>
      <c r="I26" s="184">
        <f t="shared" si="5"/>
        <v>8070</v>
      </c>
      <c r="J26" s="217"/>
      <c r="K26" s="218"/>
    </row>
    <row r="27" spans="1:14" ht="39" customHeight="1">
      <c r="A27" s="93" t="s">
        <v>158</v>
      </c>
      <c r="B27" s="160">
        <v>1041</v>
      </c>
      <c r="C27" s="96"/>
      <c r="D27" s="96"/>
      <c r="E27" s="96"/>
      <c r="F27" s="96"/>
      <c r="G27" s="96"/>
      <c r="H27" s="96"/>
      <c r="I27" s="96"/>
      <c r="J27" s="211"/>
    </row>
    <row r="28" spans="1:14" ht="23.25" customHeight="1">
      <c r="A28" s="93" t="s">
        <v>159</v>
      </c>
      <c r="B28" s="160">
        <v>1042</v>
      </c>
      <c r="C28" s="96"/>
      <c r="D28" s="96"/>
      <c r="E28" s="96"/>
      <c r="F28" s="96"/>
      <c r="G28" s="96"/>
      <c r="H28" s="96"/>
      <c r="I28" s="96"/>
      <c r="J28" s="211"/>
    </row>
    <row r="29" spans="1:14" ht="21.95" customHeight="1">
      <c r="A29" s="93" t="s">
        <v>160</v>
      </c>
      <c r="B29" s="160">
        <v>1043</v>
      </c>
      <c r="C29" s="96"/>
      <c r="D29" s="96"/>
      <c r="E29" s="96"/>
      <c r="F29" s="96"/>
      <c r="G29" s="96"/>
      <c r="H29" s="96"/>
      <c r="I29" s="96"/>
      <c r="J29" s="211"/>
    </row>
    <row r="30" spans="1:14" ht="21.95" customHeight="1">
      <c r="A30" s="93" t="s">
        <v>161</v>
      </c>
      <c r="B30" s="160">
        <v>1044</v>
      </c>
      <c r="C30" s="96"/>
      <c r="D30" s="96"/>
      <c r="E30" s="96"/>
      <c r="F30" s="96"/>
      <c r="G30" s="96"/>
      <c r="H30" s="96"/>
      <c r="I30" s="96"/>
      <c r="J30" s="211"/>
    </row>
    <row r="31" spans="1:14" ht="21.95" customHeight="1">
      <c r="A31" s="93" t="s">
        <v>162</v>
      </c>
      <c r="B31" s="160">
        <v>1045</v>
      </c>
      <c r="C31" s="96">
        <v>83</v>
      </c>
      <c r="D31" s="96">
        <v>226</v>
      </c>
      <c r="E31" s="96">
        <v>226</v>
      </c>
      <c r="F31" s="96">
        <v>350</v>
      </c>
      <c r="G31" s="96">
        <v>350</v>
      </c>
      <c r="H31" s="96">
        <v>350</v>
      </c>
      <c r="I31" s="96">
        <v>350</v>
      </c>
      <c r="J31" s="211"/>
      <c r="K31" s="192">
        <v>640</v>
      </c>
    </row>
    <row r="32" spans="1:14" s="39" customFormat="1" ht="21.95" customHeight="1">
      <c r="A32" s="93" t="s">
        <v>163</v>
      </c>
      <c r="B32" s="160">
        <v>1046</v>
      </c>
      <c r="C32" s="96">
        <v>0</v>
      </c>
      <c r="D32" s="96"/>
      <c r="E32" s="96">
        <f t="shared" ref="E32:E37" si="6">D32</f>
        <v>0</v>
      </c>
      <c r="F32" s="96"/>
      <c r="G32" s="96"/>
      <c r="H32" s="96"/>
      <c r="I32" s="96"/>
      <c r="J32" s="211"/>
      <c r="K32" s="214"/>
      <c r="L32" s="214"/>
      <c r="M32" s="214"/>
      <c r="N32" s="214"/>
    </row>
    <row r="33" spans="1:14" s="39" customFormat="1" ht="21.95" customHeight="1">
      <c r="A33" s="93" t="s">
        <v>164</v>
      </c>
      <c r="B33" s="160">
        <v>1047</v>
      </c>
      <c r="C33" s="96">
        <v>10</v>
      </c>
      <c r="D33" s="96">
        <v>20</v>
      </c>
      <c r="E33" s="96">
        <f t="shared" si="6"/>
        <v>20</v>
      </c>
      <c r="F33" s="96">
        <v>8</v>
      </c>
      <c r="G33" s="94">
        <v>12</v>
      </c>
      <c r="H33" s="94">
        <v>17</v>
      </c>
      <c r="I33" s="96">
        <v>22</v>
      </c>
      <c r="J33" s="211"/>
      <c r="K33" s="214"/>
      <c r="L33" s="214"/>
      <c r="M33" s="214"/>
      <c r="N33" s="214"/>
    </row>
    <row r="34" spans="1:14" s="39" customFormat="1" ht="21.95" customHeight="1">
      <c r="A34" s="93" t="s">
        <v>143</v>
      </c>
      <c r="B34" s="160">
        <v>1048</v>
      </c>
      <c r="C34" s="96">
        <v>3683</v>
      </c>
      <c r="D34" s="94">
        <v>4294</v>
      </c>
      <c r="E34" s="96">
        <f t="shared" si="6"/>
        <v>4294</v>
      </c>
      <c r="F34" s="94">
        <f t="shared" ref="F34:I35" si="7">K34</f>
        <v>1065</v>
      </c>
      <c r="G34" s="94">
        <f t="shared" si="7"/>
        <v>2131</v>
      </c>
      <c r="H34" s="94">
        <f t="shared" si="7"/>
        <v>3196</v>
      </c>
      <c r="I34" s="94">
        <f t="shared" si="7"/>
        <v>4262</v>
      </c>
      <c r="J34" s="211"/>
      <c r="K34" s="219">
        <f>ROUND(Лист3!K38/1000,0)</f>
        <v>1065</v>
      </c>
      <c r="L34" s="219">
        <f>ROUND(Лист3!L38/1000,0)</f>
        <v>2131</v>
      </c>
      <c r="M34" s="219">
        <f>ROUND(Лист3!M38/1000,0)</f>
        <v>3196</v>
      </c>
      <c r="N34" s="219">
        <f>ROUND(Лист3!N38/1000,0)</f>
        <v>4262</v>
      </c>
    </row>
    <row r="35" spans="1:14" s="39" customFormat="1" ht="21.95" customHeight="1">
      <c r="A35" s="93" t="s">
        <v>144</v>
      </c>
      <c r="B35" s="160">
        <v>1049</v>
      </c>
      <c r="C35" s="96">
        <v>784</v>
      </c>
      <c r="D35" s="96">
        <v>932</v>
      </c>
      <c r="E35" s="96">
        <f t="shared" si="6"/>
        <v>932</v>
      </c>
      <c r="F35" s="96">
        <f t="shared" si="7"/>
        <v>231</v>
      </c>
      <c r="G35" s="96">
        <f t="shared" si="7"/>
        <v>463</v>
      </c>
      <c r="H35" s="96">
        <f t="shared" si="7"/>
        <v>694</v>
      </c>
      <c r="I35" s="96">
        <f t="shared" si="7"/>
        <v>925</v>
      </c>
      <c r="J35" s="211"/>
      <c r="K35" s="219">
        <f>ROUND(Лист3!K39/1000,0)</f>
        <v>231</v>
      </c>
      <c r="L35" s="219">
        <f>ROUND(Лист3!L39/1000,0)</f>
        <v>463</v>
      </c>
      <c r="M35" s="219">
        <f>ROUND(Лист3!M39/1000,0)</f>
        <v>694</v>
      </c>
      <c r="N35" s="219">
        <f>ROUND(Лист3!N39/1000,0)</f>
        <v>925</v>
      </c>
    </row>
    <row r="36" spans="1:14" s="39" customFormat="1" ht="78" customHeight="1">
      <c r="A36" s="93" t="s">
        <v>165</v>
      </c>
      <c r="B36" s="160">
        <v>1050</v>
      </c>
      <c r="C36" s="96">
        <v>62</v>
      </c>
      <c r="D36" s="96">
        <v>90</v>
      </c>
      <c r="E36" s="96">
        <f t="shared" si="6"/>
        <v>90</v>
      </c>
      <c r="F36" s="96">
        <v>22</v>
      </c>
      <c r="G36" s="96">
        <v>44</v>
      </c>
      <c r="H36" s="94">
        <v>66</v>
      </c>
      <c r="I36" s="94">
        <v>87</v>
      </c>
      <c r="J36" s="211"/>
      <c r="K36" s="214"/>
      <c r="L36" s="214"/>
      <c r="M36" s="214"/>
      <c r="N36" s="214"/>
    </row>
    <row r="37" spans="1:14" s="39" customFormat="1" ht="77.099999999999994" customHeight="1">
      <c r="A37" s="93" t="s">
        <v>166</v>
      </c>
      <c r="B37" s="160">
        <v>1051</v>
      </c>
      <c r="C37" s="96">
        <v>605</v>
      </c>
      <c r="D37" s="96">
        <v>678</v>
      </c>
      <c r="E37" s="96">
        <f t="shared" si="6"/>
        <v>678</v>
      </c>
      <c r="F37" s="96">
        <v>186</v>
      </c>
      <c r="G37" s="96">
        <v>372</v>
      </c>
      <c r="H37" s="96">
        <v>558</v>
      </c>
      <c r="I37" s="94">
        <v>744</v>
      </c>
      <c r="J37" s="211"/>
      <c r="K37" s="214"/>
      <c r="L37" s="214"/>
      <c r="M37" s="214"/>
      <c r="N37" s="214"/>
    </row>
    <row r="38" spans="1:14" s="39" customFormat="1" ht="62.1" customHeight="1">
      <c r="A38" s="93" t="s">
        <v>167</v>
      </c>
      <c r="B38" s="160">
        <v>1052</v>
      </c>
      <c r="C38" s="96"/>
      <c r="D38" s="96"/>
      <c r="E38" s="96"/>
      <c r="F38" s="96"/>
      <c r="G38" s="96"/>
      <c r="H38" s="96"/>
      <c r="I38" s="96"/>
      <c r="J38" s="211"/>
      <c r="K38" s="214"/>
      <c r="L38" s="214"/>
      <c r="M38" s="214"/>
      <c r="N38" s="214"/>
    </row>
    <row r="39" spans="1:14" s="39" customFormat="1" ht="51" customHeight="1">
      <c r="A39" s="93" t="s">
        <v>168</v>
      </c>
      <c r="B39" s="160">
        <v>1053</v>
      </c>
      <c r="C39" s="96"/>
      <c r="D39" s="96"/>
      <c r="E39" s="96"/>
      <c r="F39" s="96"/>
      <c r="G39" s="96"/>
      <c r="H39" s="96"/>
      <c r="I39" s="96"/>
      <c r="J39" s="55"/>
      <c r="K39" s="214"/>
      <c r="L39" s="214"/>
      <c r="M39" s="214"/>
      <c r="N39" s="214"/>
    </row>
    <row r="40" spans="1:14" s="39" customFormat="1" ht="21.95" customHeight="1">
      <c r="A40" s="93" t="s">
        <v>169</v>
      </c>
      <c r="B40" s="160">
        <v>1054</v>
      </c>
      <c r="C40" s="96">
        <v>18</v>
      </c>
      <c r="D40" s="96">
        <f t="shared" ref="D40:I40" si="8">D41+D42</f>
        <v>16</v>
      </c>
      <c r="E40" s="96">
        <f t="shared" si="8"/>
        <v>16</v>
      </c>
      <c r="F40" s="96">
        <f t="shared" si="8"/>
        <v>8</v>
      </c>
      <c r="G40" s="96">
        <f t="shared" si="8"/>
        <v>14</v>
      </c>
      <c r="H40" s="96">
        <f t="shared" si="8"/>
        <v>21</v>
      </c>
      <c r="I40" s="96">
        <f t="shared" si="8"/>
        <v>29</v>
      </c>
      <c r="J40" s="55"/>
      <c r="K40" s="214"/>
      <c r="L40" s="214"/>
      <c r="M40" s="214"/>
      <c r="N40" s="214"/>
    </row>
    <row r="41" spans="1:14" s="39" customFormat="1" ht="21.95" customHeight="1">
      <c r="A41" s="93" t="s">
        <v>170</v>
      </c>
      <c r="B41" s="160" t="s">
        <v>171</v>
      </c>
      <c r="C41" s="96"/>
      <c r="D41" s="96"/>
      <c r="E41" s="96">
        <f>D41</f>
        <v>0</v>
      </c>
      <c r="F41" s="96"/>
      <c r="G41" s="96"/>
      <c r="H41" s="96"/>
      <c r="I41" s="96"/>
      <c r="J41" s="55"/>
      <c r="K41" s="214"/>
      <c r="L41" s="214"/>
      <c r="M41" s="214"/>
      <c r="N41" s="214"/>
    </row>
    <row r="42" spans="1:14" s="39" customFormat="1" ht="21.95" customHeight="1">
      <c r="A42" s="93" t="s">
        <v>172</v>
      </c>
      <c r="B42" s="160" t="s">
        <v>173</v>
      </c>
      <c r="C42" s="96"/>
      <c r="D42" s="96">
        <v>16</v>
      </c>
      <c r="E42" s="96">
        <f>D42</f>
        <v>16</v>
      </c>
      <c r="F42" s="96">
        <v>8</v>
      </c>
      <c r="G42" s="96">
        <v>14</v>
      </c>
      <c r="H42" s="96">
        <v>21</v>
      </c>
      <c r="I42" s="96">
        <v>29</v>
      </c>
      <c r="J42" s="55"/>
      <c r="K42" s="214"/>
      <c r="L42" s="214"/>
      <c r="M42" s="214"/>
      <c r="N42" s="214"/>
    </row>
    <row r="43" spans="1:14" s="39" customFormat="1" ht="21.95" customHeight="1">
      <c r="A43" s="93" t="s">
        <v>174</v>
      </c>
      <c r="B43" s="160">
        <v>1055</v>
      </c>
      <c r="C43" s="96">
        <v>9</v>
      </c>
      <c r="D43" s="96">
        <v>8</v>
      </c>
      <c r="E43" s="96">
        <v>8</v>
      </c>
      <c r="F43" s="96">
        <v>2</v>
      </c>
      <c r="G43" s="96">
        <v>2</v>
      </c>
      <c r="H43" s="94">
        <v>3</v>
      </c>
      <c r="I43" s="94">
        <v>3</v>
      </c>
      <c r="J43" s="55"/>
      <c r="K43" s="214"/>
      <c r="L43" s="214"/>
      <c r="M43" s="214"/>
      <c r="N43" s="214"/>
    </row>
    <row r="44" spans="1:14" s="39" customFormat="1" ht="21.95" customHeight="1">
      <c r="A44" s="93" t="s">
        <v>175</v>
      </c>
      <c r="B44" s="160">
        <v>1056</v>
      </c>
      <c r="C44" s="96">
        <v>0</v>
      </c>
      <c r="D44" s="96"/>
      <c r="E44" s="96">
        <f>D44</f>
        <v>0</v>
      </c>
      <c r="F44" s="96"/>
      <c r="G44" s="96"/>
      <c r="H44" s="96"/>
      <c r="I44" s="96"/>
      <c r="J44" s="55"/>
      <c r="K44" s="214"/>
      <c r="L44" s="214"/>
      <c r="M44" s="214"/>
      <c r="N44" s="214"/>
    </row>
    <row r="45" spans="1:14" s="39" customFormat="1" ht="24.2" customHeight="1">
      <c r="A45" s="93" t="s">
        <v>176</v>
      </c>
      <c r="B45" s="160">
        <v>1057</v>
      </c>
      <c r="C45" s="96">
        <v>0</v>
      </c>
      <c r="D45" s="96"/>
      <c r="E45" s="96">
        <f>D45</f>
        <v>0</v>
      </c>
      <c r="F45" s="96"/>
      <c r="G45" s="96"/>
      <c r="H45" s="96"/>
      <c r="I45" s="96"/>
      <c r="J45" s="55"/>
      <c r="K45" s="214"/>
      <c r="L45" s="214"/>
      <c r="M45" s="214"/>
      <c r="N45" s="214"/>
    </row>
    <row r="46" spans="1:14" s="39" customFormat="1" ht="41.25" customHeight="1">
      <c r="A46" s="93" t="s">
        <v>177</v>
      </c>
      <c r="B46" s="160">
        <v>1058</v>
      </c>
      <c r="C46" s="96">
        <v>0</v>
      </c>
      <c r="D46" s="96">
        <v>3</v>
      </c>
      <c r="E46" s="96">
        <f>D46</f>
        <v>3</v>
      </c>
      <c r="F46" s="96">
        <v>1</v>
      </c>
      <c r="G46" s="96">
        <v>2</v>
      </c>
      <c r="H46" s="96">
        <v>2</v>
      </c>
      <c r="I46" s="96">
        <v>3</v>
      </c>
      <c r="J46" s="211"/>
      <c r="K46" s="214"/>
      <c r="L46" s="214"/>
      <c r="M46" s="214"/>
      <c r="N46" s="214"/>
    </row>
    <row r="47" spans="1:14" s="39" customFormat="1" ht="42.75" customHeight="1">
      <c r="A47" s="93" t="s">
        <v>178</v>
      </c>
      <c r="B47" s="160">
        <v>1059</v>
      </c>
      <c r="C47" s="96"/>
      <c r="D47" s="96"/>
      <c r="E47" s="96"/>
      <c r="F47" s="96"/>
      <c r="G47" s="96"/>
      <c r="H47" s="96"/>
      <c r="I47" s="96"/>
      <c r="J47" s="211"/>
      <c r="K47" s="214"/>
      <c r="L47" s="214"/>
      <c r="M47" s="214"/>
      <c r="N47" s="214"/>
    </row>
    <row r="48" spans="1:14" s="39" customFormat="1" ht="83.1" customHeight="1">
      <c r="A48" s="93" t="s">
        <v>179</v>
      </c>
      <c r="B48" s="160">
        <v>1060</v>
      </c>
      <c r="C48" s="96"/>
      <c r="D48" s="96"/>
      <c r="E48" s="96"/>
      <c r="F48" s="96"/>
      <c r="G48" s="96"/>
      <c r="H48" s="96"/>
      <c r="I48" s="96"/>
      <c r="J48" s="211"/>
      <c r="K48" s="214"/>
      <c r="L48" s="214"/>
      <c r="M48" s="214"/>
      <c r="N48" s="214"/>
    </row>
    <row r="49" spans="1:15" s="39" customFormat="1" ht="23.25" customHeight="1">
      <c r="A49" s="93" t="s">
        <v>180</v>
      </c>
      <c r="B49" s="160">
        <v>1061</v>
      </c>
      <c r="C49" s="96"/>
      <c r="D49" s="96"/>
      <c r="E49" s="96"/>
      <c r="F49" s="96"/>
      <c r="G49" s="96"/>
      <c r="H49" s="96"/>
      <c r="I49" s="96"/>
      <c r="J49" s="211"/>
      <c r="K49" s="214"/>
      <c r="L49" s="214"/>
      <c r="M49" s="214"/>
      <c r="N49" s="214"/>
    </row>
    <row r="50" spans="1:15" s="39" customFormat="1" ht="42" customHeight="1">
      <c r="A50" s="93" t="s">
        <v>181</v>
      </c>
      <c r="B50" s="160">
        <v>1062</v>
      </c>
      <c r="C50" s="96">
        <f t="shared" ref="C50:I50" si="9">C51+C56+C57+C58+C59+C60+C61+C64</f>
        <v>654</v>
      </c>
      <c r="D50" s="96">
        <f t="shared" si="9"/>
        <v>887</v>
      </c>
      <c r="E50" s="96">
        <f t="shared" si="9"/>
        <v>887</v>
      </c>
      <c r="F50" s="96">
        <f t="shared" si="9"/>
        <v>431</v>
      </c>
      <c r="G50" s="96">
        <f t="shared" si="9"/>
        <v>571</v>
      </c>
      <c r="H50" s="96">
        <f t="shared" si="9"/>
        <v>1492</v>
      </c>
      <c r="I50" s="96">
        <f t="shared" si="9"/>
        <v>1645</v>
      </c>
      <c r="J50" s="211"/>
      <c r="K50" s="214"/>
      <c r="L50" s="214"/>
      <c r="M50" s="214"/>
      <c r="N50" s="214"/>
      <c r="O50" s="220"/>
    </row>
    <row r="51" spans="1:15" s="39" customFormat="1" ht="21.95" customHeight="1">
      <c r="A51" s="93" t="s">
        <v>182</v>
      </c>
      <c r="B51" s="160" t="s">
        <v>183</v>
      </c>
      <c r="C51" s="96">
        <f>C52+C53+C54+C55</f>
        <v>346</v>
      </c>
      <c r="D51" s="96">
        <v>404</v>
      </c>
      <c r="E51" s="96">
        <v>404</v>
      </c>
      <c r="F51" s="96">
        <f>SUM(F52:F55)</f>
        <v>313</v>
      </c>
      <c r="G51" s="96">
        <f>SUM(G52:G55)</f>
        <v>355</v>
      </c>
      <c r="H51" s="96">
        <f>SUM(H52:H55)</f>
        <v>1177</v>
      </c>
      <c r="I51" s="96">
        <f>SUM(I52:I55)</f>
        <v>1242</v>
      </c>
      <c r="J51" s="211"/>
      <c r="K51" s="214"/>
      <c r="L51" s="214"/>
      <c r="M51" s="214"/>
      <c r="N51" s="214"/>
    </row>
    <row r="52" spans="1:15" s="39" customFormat="1" ht="39" customHeight="1">
      <c r="A52" s="93" t="s">
        <v>184</v>
      </c>
      <c r="B52" s="160" t="s">
        <v>185</v>
      </c>
      <c r="C52" s="96">
        <v>22</v>
      </c>
      <c r="D52" s="96">
        <v>23</v>
      </c>
      <c r="E52" s="96">
        <f>D52</f>
        <v>23</v>
      </c>
      <c r="F52" s="96">
        <v>6</v>
      </c>
      <c r="G52" s="96">
        <v>12</v>
      </c>
      <c r="H52" s="94">
        <v>19</v>
      </c>
      <c r="I52" s="94">
        <v>23</v>
      </c>
      <c r="J52" s="211"/>
      <c r="K52" s="214"/>
      <c r="L52" s="214"/>
      <c r="M52" s="214"/>
      <c r="N52" s="214"/>
    </row>
    <row r="53" spans="1:15" s="39" customFormat="1" ht="42" customHeight="1">
      <c r="A53" s="93" t="s">
        <v>186</v>
      </c>
      <c r="B53" s="160" t="s">
        <v>187</v>
      </c>
      <c r="C53" s="96">
        <v>145</v>
      </c>
      <c r="D53" s="96">
        <v>223</v>
      </c>
      <c r="E53" s="96">
        <v>223</v>
      </c>
      <c r="F53" s="96">
        <v>76</v>
      </c>
      <c r="G53" s="96">
        <v>96</v>
      </c>
      <c r="H53" s="96">
        <v>171</v>
      </c>
      <c r="I53" s="96">
        <v>205</v>
      </c>
      <c r="J53" s="55"/>
      <c r="K53" s="214"/>
      <c r="L53" s="214"/>
      <c r="M53" s="214"/>
      <c r="N53" s="214"/>
    </row>
    <row r="54" spans="1:15" s="39" customFormat="1" ht="24" customHeight="1">
      <c r="A54" s="93" t="s">
        <v>188</v>
      </c>
      <c r="B54" s="160" t="s">
        <v>189</v>
      </c>
      <c r="C54" s="96">
        <v>22</v>
      </c>
      <c r="D54" s="96">
        <v>115</v>
      </c>
      <c r="E54" s="96">
        <v>115</v>
      </c>
      <c r="F54" s="96">
        <v>61</v>
      </c>
      <c r="G54" s="96">
        <v>77</v>
      </c>
      <c r="H54" s="96">
        <v>137</v>
      </c>
      <c r="I54" s="96">
        <v>164</v>
      </c>
      <c r="J54" s="55"/>
      <c r="K54" s="214"/>
      <c r="L54" s="214"/>
      <c r="M54" s="214"/>
      <c r="N54" s="214"/>
    </row>
    <row r="55" spans="1:15" s="39" customFormat="1" ht="24" customHeight="1">
      <c r="A55" s="93" t="s">
        <v>190</v>
      </c>
      <c r="B55" s="160" t="s">
        <v>191</v>
      </c>
      <c r="C55" s="96">
        <v>157</v>
      </c>
      <c r="D55" s="96">
        <v>43</v>
      </c>
      <c r="E55" s="96">
        <v>43</v>
      </c>
      <c r="F55" s="96">
        <f>'РУХ новый'!F62*0.2%</f>
        <v>170</v>
      </c>
      <c r="G55" s="96">
        <f>'РУХ новый'!G62*0.2%</f>
        <v>170</v>
      </c>
      <c r="H55" s="96">
        <f>'РУХ новый'!H62*0.2%</f>
        <v>850</v>
      </c>
      <c r="I55" s="96">
        <f>'РУХ новый'!I62*0.2%</f>
        <v>850</v>
      </c>
      <c r="J55" s="211"/>
      <c r="K55" s="214"/>
      <c r="L55" s="214"/>
      <c r="M55" s="214"/>
      <c r="N55" s="214"/>
    </row>
    <row r="56" spans="1:15" s="39" customFormat="1" ht="23.45" customHeight="1">
      <c r="A56" s="93" t="s">
        <v>192</v>
      </c>
      <c r="B56" s="160" t="s">
        <v>193</v>
      </c>
      <c r="C56" s="96">
        <v>0</v>
      </c>
      <c r="D56" s="94"/>
      <c r="E56" s="96">
        <f>D56</f>
        <v>0</v>
      </c>
      <c r="F56" s="96"/>
      <c r="G56" s="96"/>
      <c r="H56" s="96"/>
      <c r="I56" s="94"/>
      <c r="J56" s="55"/>
      <c r="K56" s="214"/>
      <c r="L56" s="214"/>
      <c r="M56" s="214"/>
      <c r="N56" s="214"/>
    </row>
    <row r="57" spans="1:15" s="39" customFormat="1" ht="93.95" customHeight="1">
      <c r="A57" s="93" t="s">
        <v>194</v>
      </c>
      <c r="B57" s="160" t="s">
        <v>195</v>
      </c>
      <c r="C57" s="96">
        <v>153</v>
      </c>
      <c r="D57" s="94">
        <v>222</v>
      </c>
      <c r="E57" s="96">
        <f>D57</f>
        <v>222</v>
      </c>
      <c r="F57" s="94">
        <v>72</v>
      </c>
      <c r="G57" s="94">
        <v>130</v>
      </c>
      <c r="H57" s="94">
        <v>188</v>
      </c>
      <c r="I57" s="94">
        <v>232</v>
      </c>
      <c r="J57" s="221" t="s">
        <v>196</v>
      </c>
      <c r="K57" s="214"/>
      <c r="L57" s="214"/>
      <c r="M57" s="214"/>
      <c r="N57" s="214"/>
    </row>
    <row r="58" spans="1:15" s="39" customFormat="1" ht="27.6" customHeight="1">
      <c r="A58" s="93" t="s">
        <v>142</v>
      </c>
      <c r="B58" s="160" t="s">
        <v>197</v>
      </c>
      <c r="C58" s="96"/>
      <c r="D58" s="94"/>
      <c r="E58" s="96"/>
      <c r="F58" s="96"/>
      <c r="G58" s="96"/>
      <c r="H58" s="96"/>
      <c r="I58" s="96"/>
      <c r="J58" s="211"/>
      <c r="K58" s="214"/>
      <c r="L58" s="214"/>
      <c r="M58" s="214"/>
      <c r="N58" s="214"/>
    </row>
    <row r="59" spans="1:15" s="39" customFormat="1" ht="40.5" customHeight="1">
      <c r="A59" s="93" t="s">
        <v>198</v>
      </c>
      <c r="B59" s="160" t="s">
        <v>199</v>
      </c>
      <c r="C59" s="96"/>
      <c r="D59" s="94"/>
      <c r="E59" s="96"/>
      <c r="F59" s="96"/>
      <c r="G59" s="96"/>
      <c r="H59" s="96"/>
      <c r="I59" s="96"/>
      <c r="J59" s="211"/>
      <c r="K59" s="214"/>
      <c r="L59" s="214"/>
      <c r="M59" s="214"/>
      <c r="N59" s="214"/>
    </row>
    <row r="60" spans="1:15" s="39" customFormat="1" ht="43.7" customHeight="1">
      <c r="A60" s="93" t="s">
        <v>200</v>
      </c>
      <c r="B60" s="160" t="s">
        <v>201</v>
      </c>
      <c r="C60" s="96">
        <v>15</v>
      </c>
      <c r="D60" s="94">
        <v>17</v>
      </c>
      <c r="E60" s="96">
        <f>D60</f>
        <v>17</v>
      </c>
      <c r="F60" s="96">
        <v>4</v>
      </c>
      <c r="G60" s="96">
        <v>8</v>
      </c>
      <c r="H60" s="96">
        <v>12</v>
      </c>
      <c r="I60" s="96">
        <v>17</v>
      </c>
      <c r="J60" s="211"/>
      <c r="K60" s="214"/>
      <c r="L60" s="214"/>
      <c r="M60" s="214"/>
      <c r="N60" s="214"/>
    </row>
    <row r="61" spans="1:15" s="39" customFormat="1" ht="37.5">
      <c r="A61" s="93" t="s">
        <v>202</v>
      </c>
      <c r="B61" s="160" t="s">
        <v>203</v>
      </c>
      <c r="C61" s="96"/>
      <c r="D61" s="94"/>
      <c r="E61" s="96">
        <f>D61</f>
        <v>0</v>
      </c>
      <c r="F61" s="96">
        <v>12</v>
      </c>
      <c r="G61" s="96">
        <v>18</v>
      </c>
      <c r="H61" s="96">
        <v>25</v>
      </c>
      <c r="I61" s="96">
        <v>34</v>
      </c>
      <c r="J61" s="211"/>
      <c r="K61" s="214"/>
      <c r="L61" s="214"/>
      <c r="M61" s="214"/>
      <c r="N61" s="214"/>
    </row>
    <row r="62" spans="1:15" s="39" customFormat="1" ht="96" hidden="1" customHeight="1">
      <c r="A62" s="93" t="s">
        <v>204</v>
      </c>
      <c r="B62" s="160" t="s">
        <v>199</v>
      </c>
      <c r="C62" s="96" t="e">
        <f>C63+#REF!</f>
        <v>#REF!</v>
      </c>
      <c r="D62" s="96"/>
      <c r="E62" s="96"/>
      <c r="F62" s="96"/>
      <c r="G62" s="96"/>
      <c r="H62" s="96"/>
      <c r="I62" s="96"/>
      <c r="J62" s="211"/>
      <c r="K62" s="214"/>
      <c r="L62" s="214"/>
      <c r="M62" s="214"/>
      <c r="N62" s="214"/>
    </row>
    <row r="63" spans="1:15" s="39" customFormat="1" ht="55.5" hidden="1" customHeight="1">
      <c r="A63" s="152" t="s">
        <v>205</v>
      </c>
      <c r="B63" s="160" t="s">
        <v>206</v>
      </c>
      <c r="C63" s="96"/>
      <c r="D63" s="96"/>
      <c r="E63" s="96"/>
      <c r="F63" s="96"/>
      <c r="G63" s="96"/>
      <c r="H63" s="96"/>
      <c r="I63" s="94"/>
      <c r="J63" s="211"/>
      <c r="K63" s="214"/>
      <c r="L63" s="214"/>
      <c r="M63" s="214"/>
      <c r="N63" s="214"/>
    </row>
    <row r="64" spans="1:15" s="39" customFormat="1" ht="21.95" customHeight="1">
      <c r="A64" s="152" t="s">
        <v>207</v>
      </c>
      <c r="B64" s="160" t="s">
        <v>208</v>
      </c>
      <c r="C64" s="96">
        <v>140</v>
      </c>
      <c r="D64" s="96">
        <v>244</v>
      </c>
      <c r="E64" s="96">
        <v>244</v>
      </c>
      <c r="F64" s="96">
        <v>30</v>
      </c>
      <c r="G64" s="96">
        <v>60</v>
      </c>
      <c r="H64" s="96">
        <v>90</v>
      </c>
      <c r="I64" s="96">
        <v>120</v>
      </c>
      <c r="J64" s="211"/>
      <c r="K64" s="214"/>
      <c r="L64" s="214"/>
      <c r="M64" s="214"/>
      <c r="N64" s="214"/>
    </row>
    <row r="65" spans="1:14" ht="21.95" customHeight="1">
      <c r="A65" s="199" t="s">
        <v>209</v>
      </c>
      <c r="B65" s="200">
        <v>1070</v>
      </c>
      <c r="C65" s="184">
        <f t="shared" ref="C65:I65" si="10">SUM(C66:C71)</f>
        <v>0</v>
      </c>
      <c r="D65" s="184">
        <f t="shared" si="10"/>
        <v>0</v>
      </c>
      <c r="E65" s="184">
        <f t="shared" si="10"/>
        <v>0</v>
      </c>
      <c r="F65" s="184">
        <f t="shared" si="10"/>
        <v>0</v>
      </c>
      <c r="G65" s="184">
        <f t="shared" si="10"/>
        <v>0</v>
      </c>
      <c r="H65" s="184">
        <f t="shared" si="10"/>
        <v>0</v>
      </c>
      <c r="I65" s="184">
        <f t="shared" si="10"/>
        <v>0</v>
      </c>
      <c r="J65" s="211"/>
    </row>
    <row r="66" spans="1:14" s="39" customFormat="1" ht="21.95" customHeight="1">
      <c r="A66" s="93" t="s">
        <v>210</v>
      </c>
      <c r="B66" s="160">
        <v>1071</v>
      </c>
      <c r="C66" s="96"/>
      <c r="D66" s="96"/>
      <c r="E66" s="96"/>
      <c r="F66" s="96"/>
      <c r="G66" s="96"/>
      <c r="H66" s="96"/>
      <c r="I66" s="96"/>
      <c r="J66" s="211"/>
      <c r="K66" s="214"/>
      <c r="L66" s="214"/>
      <c r="M66" s="214"/>
      <c r="N66" s="214"/>
    </row>
    <row r="67" spans="1:14" s="39" customFormat="1" ht="21.95" customHeight="1">
      <c r="A67" s="93" t="s">
        <v>211</v>
      </c>
      <c r="B67" s="160">
        <v>1072</v>
      </c>
      <c r="C67" s="96"/>
      <c r="D67" s="96"/>
      <c r="E67" s="96"/>
      <c r="F67" s="96"/>
      <c r="G67" s="96"/>
      <c r="H67" s="96"/>
      <c r="I67" s="96"/>
      <c r="J67" s="211"/>
      <c r="K67" s="214"/>
      <c r="L67" s="214"/>
      <c r="M67" s="214"/>
      <c r="N67" s="214"/>
    </row>
    <row r="68" spans="1:14" s="39" customFormat="1" ht="21.95" customHeight="1">
      <c r="A68" s="93" t="s">
        <v>143</v>
      </c>
      <c r="B68" s="160">
        <v>1073</v>
      </c>
      <c r="C68" s="96"/>
      <c r="D68" s="96"/>
      <c r="E68" s="96"/>
      <c r="F68" s="96"/>
      <c r="G68" s="96"/>
      <c r="H68" s="96"/>
      <c r="I68" s="96"/>
      <c r="J68" s="211"/>
      <c r="K68" s="214"/>
      <c r="L68" s="214"/>
      <c r="M68" s="214"/>
      <c r="N68" s="214"/>
    </row>
    <row r="69" spans="1:14" s="39" customFormat="1" ht="45.95" customHeight="1">
      <c r="A69" s="93" t="s">
        <v>146</v>
      </c>
      <c r="B69" s="160">
        <v>1074</v>
      </c>
      <c r="C69" s="96"/>
      <c r="D69" s="96"/>
      <c r="E69" s="96"/>
      <c r="F69" s="96"/>
      <c r="G69" s="96"/>
      <c r="H69" s="96"/>
      <c r="I69" s="96"/>
      <c r="J69" s="211"/>
      <c r="K69" s="214"/>
      <c r="L69" s="214"/>
      <c r="M69" s="214"/>
      <c r="N69" s="214"/>
    </row>
    <row r="70" spans="1:14" s="39" customFormat="1" ht="21.95" customHeight="1">
      <c r="A70" s="93" t="s">
        <v>212</v>
      </c>
      <c r="B70" s="160">
        <v>1075</v>
      </c>
      <c r="C70" s="96"/>
      <c r="D70" s="96"/>
      <c r="E70" s="96"/>
      <c r="F70" s="96"/>
      <c r="G70" s="96"/>
      <c r="H70" s="96"/>
      <c r="I70" s="96"/>
      <c r="J70" s="211"/>
      <c r="K70" s="214"/>
      <c r="L70" s="214"/>
      <c r="M70" s="214"/>
      <c r="N70" s="214"/>
    </row>
    <row r="71" spans="1:14" s="39" customFormat="1" ht="21.95" customHeight="1">
      <c r="A71" s="93" t="s">
        <v>213</v>
      </c>
      <c r="B71" s="160">
        <v>1076</v>
      </c>
      <c r="C71" s="96"/>
      <c r="D71" s="96"/>
      <c r="E71" s="96"/>
      <c r="F71" s="96"/>
      <c r="G71" s="96"/>
      <c r="H71" s="96"/>
      <c r="I71" s="96"/>
      <c r="J71" s="211"/>
      <c r="K71" s="214"/>
      <c r="L71" s="214"/>
      <c r="M71" s="214"/>
      <c r="N71" s="214"/>
    </row>
    <row r="72" spans="1:14" s="39" customFormat="1" ht="23.1" customHeight="1">
      <c r="A72" s="93" t="s">
        <v>144</v>
      </c>
      <c r="B72" s="160" t="s">
        <v>214</v>
      </c>
      <c r="C72" s="96"/>
      <c r="D72" s="96"/>
      <c r="E72" s="96"/>
      <c r="F72" s="96"/>
      <c r="G72" s="96"/>
      <c r="H72" s="96"/>
      <c r="I72" s="96"/>
      <c r="J72" s="211"/>
      <c r="K72" s="214"/>
      <c r="L72" s="214"/>
      <c r="M72" s="214"/>
      <c r="N72" s="214"/>
    </row>
    <row r="73" spans="1:14" s="39" customFormat="1" ht="41.1" customHeight="1">
      <c r="A73" s="222" t="s">
        <v>215</v>
      </c>
      <c r="B73" s="200">
        <v>1080</v>
      </c>
      <c r="C73" s="184">
        <f>SUM(C74:C78)</f>
        <v>4898</v>
      </c>
      <c r="D73" s="184">
        <f>SUM(D74:D78)</f>
        <v>81222</v>
      </c>
      <c r="E73" s="184">
        <f>SUM(E74:E78)</f>
        <v>81222</v>
      </c>
      <c r="F73" s="184">
        <f>SUM(F74:F78)</f>
        <v>14657</v>
      </c>
      <c r="G73" s="184">
        <f>G74+G75+G76+G77+G78</f>
        <v>14657</v>
      </c>
      <c r="H73" s="184">
        <f>H74+H75+H76+H77+H78</f>
        <v>14657</v>
      </c>
      <c r="I73" s="184">
        <f>I74+I75+I76+I77+I78</f>
        <v>14657</v>
      </c>
      <c r="J73" s="211"/>
      <c r="K73" s="214"/>
      <c r="L73" s="214"/>
      <c r="M73" s="214"/>
      <c r="N73" s="214"/>
    </row>
    <row r="74" spans="1:14" s="39" customFormat="1" ht="25.5" customHeight="1">
      <c r="A74" s="93" t="s">
        <v>216</v>
      </c>
      <c r="B74" s="160">
        <v>1081</v>
      </c>
      <c r="C74" s="96"/>
      <c r="D74" s="96"/>
      <c r="E74" s="96"/>
      <c r="F74" s="96"/>
      <c r="G74" s="96"/>
      <c r="H74" s="96"/>
      <c r="I74" s="96"/>
      <c r="J74" s="211"/>
      <c r="K74" s="214"/>
      <c r="L74" s="214"/>
      <c r="M74" s="214"/>
      <c r="N74" s="214"/>
    </row>
    <row r="75" spans="1:14" s="39" customFormat="1" ht="35.450000000000003" customHeight="1">
      <c r="A75" s="93" t="s">
        <v>217</v>
      </c>
      <c r="B75" s="160">
        <v>1082</v>
      </c>
      <c r="C75" s="96"/>
      <c r="D75" s="96"/>
      <c r="E75" s="96"/>
      <c r="F75" s="96"/>
      <c r="G75" s="96"/>
      <c r="H75" s="96"/>
      <c r="I75" s="96"/>
      <c r="J75" s="211"/>
      <c r="K75" s="214"/>
      <c r="L75" s="214"/>
      <c r="M75" s="214"/>
      <c r="N75" s="214"/>
    </row>
    <row r="76" spans="1:14" s="39" customFormat="1" ht="38.1" customHeight="1">
      <c r="A76" s="93" t="s">
        <v>218</v>
      </c>
      <c r="B76" s="160">
        <v>1083</v>
      </c>
      <c r="C76" s="96"/>
      <c r="D76" s="96"/>
      <c r="E76" s="96"/>
      <c r="F76" s="96"/>
      <c r="G76" s="96"/>
      <c r="H76" s="96"/>
      <c r="I76" s="96"/>
      <c r="J76" s="211"/>
      <c r="K76" s="214"/>
      <c r="L76" s="214"/>
      <c r="M76" s="214"/>
      <c r="N76" s="214"/>
    </row>
    <row r="77" spans="1:14" s="39" customFormat="1" ht="21.95" customHeight="1">
      <c r="A77" s="93" t="s">
        <v>154</v>
      </c>
      <c r="B77" s="160">
        <v>1084</v>
      </c>
      <c r="C77" s="96">
        <v>4887</v>
      </c>
      <c r="D77" s="96"/>
      <c r="E77" s="96"/>
      <c r="F77" s="96"/>
      <c r="G77" s="96"/>
      <c r="H77" s="96"/>
      <c r="I77" s="96"/>
      <c r="J77" s="211"/>
      <c r="K77" s="214"/>
      <c r="L77" s="214"/>
      <c r="M77" s="214"/>
      <c r="N77" s="214"/>
    </row>
    <row r="78" spans="1:14" s="39" customFormat="1" ht="21.95" customHeight="1">
      <c r="A78" s="93" t="s">
        <v>219</v>
      </c>
      <c r="B78" s="160">
        <v>1085</v>
      </c>
      <c r="C78" s="96">
        <f>C79+C80+C81+C82</f>
        <v>11</v>
      </c>
      <c r="D78" s="96">
        <f t="shared" ref="D78:I78" si="11">SUM(D79:D85)</f>
        <v>81222</v>
      </c>
      <c r="E78" s="96">
        <f t="shared" si="11"/>
        <v>81222</v>
      </c>
      <c r="F78" s="96">
        <f t="shared" si="11"/>
        <v>14657</v>
      </c>
      <c r="G78" s="96">
        <f t="shared" si="11"/>
        <v>14657</v>
      </c>
      <c r="H78" s="96">
        <f t="shared" si="11"/>
        <v>14657</v>
      </c>
      <c r="I78" s="96">
        <f t="shared" si="11"/>
        <v>14657</v>
      </c>
      <c r="J78" s="211"/>
      <c r="K78" s="214"/>
      <c r="L78" s="214"/>
      <c r="M78" s="214"/>
      <c r="N78" s="214"/>
    </row>
    <row r="79" spans="1:14" s="39" customFormat="1" ht="21.95" customHeight="1">
      <c r="A79" s="93" t="s">
        <v>220</v>
      </c>
      <c r="B79" s="160" t="s">
        <v>221</v>
      </c>
      <c r="C79" s="96"/>
      <c r="D79" s="96"/>
      <c r="E79" s="96"/>
      <c r="F79" s="96"/>
      <c r="G79" s="96"/>
      <c r="H79" s="96"/>
      <c r="I79" s="96"/>
      <c r="J79" s="211"/>
      <c r="K79" s="214"/>
      <c r="L79" s="214"/>
      <c r="M79" s="214"/>
      <c r="N79" s="214"/>
    </row>
    <row r="80" spans="1:14" s="39" customFormat="1" ht="21.95" customHeight="1">
      <c r="A80" s="93" t="s">
        <v>222</v>
      </c>
      <c r="B80" s="160" t="s">
        <v>223</v>
      </c>
      <c r="C80" s="96">
        <v>5</v>
      </c>
      <c r="D80" s="96"/>
      <c r="E80" s="96"/>
      <c r="F80" s="96"/>
      <c r="G80" s="96"/>
      <c r="H80" s="96"/>
      <c r="I80" s="96"/>
      <c r="J80" s="211"/>
      <c r="K80" s="214"/>
      <c r="L80" s="214"/>
      <c r="M80" s="214"/>
      <c r="N80" s="214"/>
    </row>
    <row r="81" spans="1:14" s="39" customFormat="1" ht="21.95" customHeight="1">
      <c r="A81" s="93" t="s">
        <v>224</v>
      </c>
      <c r="B81" s="160" t="s">
        <v>225</v>
      </c>
      <c r="C81" s="96">
        <v>6</v>
      </c>
      <c r="D81" s="96"/>
      <c r="E81" s="96"/>
      <c r="F81" s="96"/>
      <c r="G81" s="96"/>
      <c r="H81" s="96"/>
      <c r="I81" s="96"/>
      <c r="J81" s="211"/>
      <c r="K81" s="214"/>
      <c r="L81" s="214"/>
      <c r="M81" s="214"/>
      <c r="N81" s="214"/>
    </row>
    <row r="82" spans="1:14" s="39" customFormat="1" ht="62.25" customHeight="1">
      <c r="A82" s="93" t="s">
        <v>226</v>
      </c>
      <c r="B82" s="160" t="s">
        <v>227</v>
      </c>
      <c r="C82" s="96"/>
      <c r="D82" s="96">
        <v>17029</v>
      </c>
      <c r="E82" s="96">
        <v>17029</v>
      </c>
      <c r="F82" s="96"/>
      <c r="G82" s="96"/>
      <c r="H82" s="96"/>
      <c r="I82" s="96"/>
      <c r="J82" s="211"/>
      <c r="K82" s="214"/>
      <c r="L82" s="214"/>
      <c r="M82" s="214"/>
      <c r="N82" s="214"/>
    </row>
    <row r="83" spans="1:14" s="39" customFormat="1" ht="78.95" hidden="1" customHeight="1">
      <c r="A83" s="93" t="s">
        <v>228</v>
      </c>
      <c r="B83" s="160" t="s">
        <v>229</v>
      </c>
      <c r="C83" s="96"/>
      <c r="D83" s="96"/>
      <c r="E83" s="96"/>
      <c r="F83" s="96"/>
      <c r="G83" s="96"/>
      <c r="H83" s="96"/>
      <c r="I83" s="96"/>
      <c r="J83" s="211"/>
      <c r="K83" s="214"/>
      <c r="L83" s="214"/>
      <c r="M83" s="214"/>
      <c r="N83" s="214"/>
    </row>
    <row r="84" spans="1:14" s="39" customFormat="1" ht="138.4" customHeight="1">
      <c r="A84" s="93" t="s">
        <v>230</v>
      </c>
      <c r="B84" s="160" t="s">
        <v>229</v>
      </c>
      <c r="C84" s="96"/>
      <c r="D84" s="96">
        <v>10395</v>
      </c>
      <c r="E84" s="96">
        <v>10395</v>
      </c>
      <c r="F84" s="96">
        <v>2332</v>
      </c>
      <c r="G84" s="96">
        <v>2332</v>
      </c>
      <c r="H84" s="96">
        <v>2332</v>
      </c>
      <c r="I84" s="96">
        <v>2332</v>
      </c>
      <c r="J84" s="211"/>
      <c r="K84" s="214"/>
      <c r="L84" s="214"/>
      <c r="M84" s="214"/>
      <c r="N84" s="214"/>
    </row>
    <row r="85" spans="1:14" s="39" customFormat="1" ht="207.95" customHeight="1">
      <c r="A85" s="93" t="s">
        <v>231</v>
      </c>
      <c r="B85" s="160" t="s">
        <v>232</v>
      </c>
      <c r="C85" s="96"/>
      <c r="D85" s="96">
        <v>53798</v>
      </c>
      <c r="E85" s="96">
        <v>53798</v>
      </c>
      <c r="F85" s="96">
        <v>12325</v>
      </c>
      <c r="G85" s="94">
        <v>12325</v>
      </c>
      <c r="H85" s="94">
        <v>12325</v>
      </c>
      <c r="I85" s="94">
        <v>12325</v>
      </c>
      <c r="J85" s="211"/>
      <c r="K85" s="214"/>
      <c r="L85" s="214"/>
      <c r="M85" s="214"/>
      <c r="N85" s="214"/>
    </row>
    <row r="86" spans="1:14" s="88" customFormat="1" ht="48.95" customHeight="1">
      <c r="A86" s="202" t="s">
        <v>79</v>
      </c>
      <c r="B86" s="203">
        <v>1100</v>
      </c>
      <c r="C86" s="223">
        <f t="shared" ref="C86:I86" si="12">C20+C21-C26-C65-C73</f>
        <v>26164</v>
      </c>
      <c r="D86" s="223">
        <f t="shared" si="12"/>
        <v>-88444</v>
      </c>
      <c r="E86" s="223">
        <f t="shared" si="12"/>
        <v>-88444</v>
      </c>
      <c r="F86" s="223">
        <f t="shared" si="12"/>
        <v>2583</v>
      </c>
      <c r="G86" s="223">
        <f t="shared" si="12"/>
        <v>4026.7000000000007</v>
      </c>
      <c r="H86" s="223">
        <f t="shared" si="12"/>
        <v>24580</v>
      </c>
      <c r="I86" s="223">
        <f t="shared" si="12"/>
        <v>23791</v>
      </c>
      <c r="J86" s="210"/>
      <c r="K86" s="208"/>
      <c r="L86" s="208"/>
      <c r="M86" s="208"/>
      <c r="N86" s="208"/>
    </row>
    <row r="87" spans="1:14" ht="45" customHeight="1">
      <c r="A87" s="93" t="s">
        <v>233</v>
      </c>
      <c r="B87" s="160">
        <v>1110</v>
      </c>
      <c r="C87" s="96"/>
      <c r="D87" s="96"/>
      <c r="E87" s="96"/>
      <c r="F87" s="96"/>
      <c r="G87" s="96"/>
      <c r="H87" s="96"/>
      <c r="I87" s="96"/>
      <c r="J87" s="211"/>
    </row>
    <row r="88" spans="1:14" ht="20.100000000000001" customHeight="1">
      <c r="A88" s="199" t="s">
        <v>234</v>
      </c>
      <c r="B88" s="200">
        <v>1120</v>
      </c>
      <c r="C88" s="183">
        <f t="shared" ref="C88:I88" si="13">C90</f>
        <v>13</v>
      </c>
      <c r="D88" s="183">
        <f t="shared" si="13"/>
        <v>175</v>
      </c>
      <c r="E88" s="183">
        <f t="shared" si="13"/>
        <v>175</v>
      </c>
      <c r="F88" s="183">
        <f t="shared" si="13"/>
        <v>49</v>
      </c>
      <c r="G88" s="183">
        <f t="shared" si="13"/>
        <v>98</v>
      </c>
      <c r="H88" s="183">
        <f t="shared" si="13"/>
        <v>147</v>
      </c>
      <c r="I88" s="183">
        <f t="shared" si="13"/>
        <v>196</v>
      </c>
      <c r="J88" s="55"/>
    </row>
    <row r="89" spans="1:14" ht="20.100000000000001" hidden="1" customHeight="1">
      <c r="A89" s="93" t="s">
        <v>235</v>
      </c>
      <c r="B89" s="160" t="s">
        <v>236</v>
      </c>
      <c r="C89" s="96"/>
      <c r="D89" s="96"/>
      <c r="E89" s="96"/>
      <c r="F89" s="96"/>
      <c r="G89" s="96"/>
      <c r="H89" s="96"/>
      <c r="I89" s="96"/>
      <c r="J89" s="55"/>
    </row>
    <row r="90" spans="1:14" ht="20.100000000000001" customHeight="1">
      <c r="A90" s="93" t="s">
        <v>237</v>
      </c>
      <c r="B90" s="160" t="s">
        <v>236</v>
      </c>
      <c r="C90" s="96">
        <v>13</v>
      </c>
      <c r="D90" s="96">
        <v>175</v>
      </c>
      <c r="E90" s="96">
        <v>175</v>
      </c>
      <c r="F90" s="96">
        <v>49</v>
      </c>
      <c r="G90" s="96">
        <v>98</v>
      </c>
      <c r="H90" s="96">
        <v>147</v>
      </c>
      <c r="I90" s="96">
        <v>196</v>
      </c>
      <c r="J90" s="55"/>
    </row>
    <row r="91" spans="1:14" ht="42" customHeight="1">
      <c r="A91" s="93" t="s">
        <v>238</v>
      </c>
      <c r="B91" s="160">
        <v>1130</v>
      </c>
      <c r="C91" s="96"/>
      <c r="D91" s="96"/>
      <c r="E91" s="96"/>
      <c r="F91" s="96"/>
      <c r="G91" s="96"/>
      <c r="H91" s="96"/>
      <c r="I91" s="96"/>
      <c r="J91" s="211"/>
    </row>
    <row r="92" spans="1:14" ht="20.100000000000001" customHeight="1">
      <c r="A92" s="199" t="s">
        <v>239</v>
      </c>
      <c r="B92" s="200">
        <v>1140</v>
      </c>
      <c r="C92" s="183">
        <f t="shared" ref="C92:I92" si="14">C93+C99</f>
        <v>25271</v>
      </c>
      <c r="D92" s="183">
        <f t="shared" si="14"/>
        <v>20281</v>
      </c>
      <c r="E92" s="183">
        <f t="shared" si="14"/>
        <v>20281</v>
      </c>
      <c r="F92" s="183">
        <f t="shared" si="14"/>
        <v>8054</v>
      </c>
      <c r="G92" s="183">
        <f t="shared" si="14"/>
        <v>17975</v>
      </c>
      <c r="H92" s="183">
        <f t="shared" si="14"/>
        <v>38625</v>
      </c>
      <c r="I92" s="183">
        <f t="shared" si="14"/>
        <v>42330</v>
      </c>
      <c r="J92" s="211"/>
    </row>
    <row r="93" spans="1:14" ht="63" customHeight="1">
      <c r="A93" s="93" t="s">
        <v>240</v>
      </c>
      <c r="B93" s="160" t="s">
        <v>241</v>
      </c>
      <c r="C93" s="96">
        <f>SUM(C94:C98)</f>
        <v>25271</v>
      </c>
      <c r="D93" s="96">
        <f>SUM(D94:D95)</f>
        <v>19807</v>
      </c>
      <c r="E93" s="96">
        <f>SUM(E94:E95)</f>
        <v>19807</v>
      </c>
      <c r="F93" s="96">
        <f>SUM(F94:F96)</f>
        <v>7928</v>
      </c>
      <c r="G93" s="96">
        <f>SUM(G94:G96)</f>
        <v>17723</v>
      </c>
      <c r="H93" s="96">
        <f>SUM(H94:H96)</f>
        <v>38246</v>
      </c>
      <c r="I93" s="96">
        <f>SUM(I94:I96)</f>
        <v>41825</v>
      </c>
      <c r="J93" s="211"/>
    </row>
    <row r="94" spans="1:14" ht="80.099999999999994" customHeight="1">
      <c r="A94" s="93" t="s">
        <v>242</v>
      </c>
      <c r="B94" s="160" t="s">
        <v>243</v>
      </c>
      <c r="C94" s="96">
        <v>3626</v>
      </c>
      <c r="D94" s="96">
        <v>3973</v>
      </c>
      <c r="E94" s="96">
        <f>D94</f>
        <v>3973</v>
      </c>
      <c r="F94" s="96">
        <v>1120</v>
      </c>
      <c r="G94" s="96">
        <v>2182</v>
      </c>
      <c r="H94" s="94">
        <v>3005</v>
      </c>
      <c r="I94" s="94">
        <v>3644</v>
      </c>
      <c r="J94" s="211"/>
    </row>
    <row r="95" spans="1:14" ht="42" customHeight="1">
      <c r="A95" s="93" t="s">
        <v>244</v>
      </c>
      <c r="B95" s="160" t="s">
        <v>245</v>
      </c>
      <c r="C95" s="96">
        <v>13329</v>
      </c>
      <c r="D95" s="96">
        <v>15834</v>
      </c>
      <c r="E95" s="96">
        <f>D95</f>
        <v>15834</v>
      </c>
      <c r="F95" s="96">
        <v>6808</v>
      </c>
      <c r="G95" s="94">
        <v>14266</v>
      </c>
      <c r="H95" s="94">
        <v>33966</v>
      </c>
      <c r="I95" s="94">
        <v>36906</v>
      </c>
      <c r="J95" s="55"/>
    </row>
    <row r="96" spans="1:14" ht="59.1" customHeight="1">
      <c r="A96" s="93" t="s">
        <v>246</v>
      </c>
      <c r="B96" s="160" t="s">
        <v>247</v>
      </c>
      <c r="C96" s="96">
        <v>310</v>
      </c>
      <c r="D96" s="96"/>
      <c r="E96" s="96"/>
      <c r="F96" s="96"/>
      <c r="G96" s="94">
        <v>1275</v>
      </c>
      <c r="H96" s="94">
        <v>1275</v>
      </c>
      <c r="I96" s="94">
        <v>1275</v>
      </c>
      <c r="J96" s="55"/>
    </row>
    <row r="97" spans="1:14" ht="59.1" customHeight="1">
      <c r="A97" s="93" t="s">
        <v>248</v>
      </c>
      <c r="B97" s="160" t="s">
        <v>249</v>
      </c>
      <c r="C97" s="96">
        <v>113</v>
      </c>
      <c r="D97" s="96"/>
      <c r="E97" s="96"/>
      <c r="F97" s="96"/>
      <c r="G97" s="94"/>
      <c r="H97" s="94"/>
      <c r="I97" s="94"/>
      <c r="J97" s="55"/>
    </row>
    <row r="98" spans="1:14" ht="74.099999999999994" customHeight="1">
      <c r="A98" s="93" t="s">
        <v>250</v>
      </c>
      <c r="B98" s="160" t="s">
        <v>251</v>
      </c>
      <c r="C98" s="96">
        <v>7893</v>
      </c>
      <c r="D98" s="96"/>
      <c r="E98" s="96"/>
      <c r="F98" s="96"/>
      <c r="G98" s="94"/>
      <c r="H98" s="94"/>
      <c r="I98" s="94"/>
      <c r="J98" s="55"/>
    </row>
    <row r="99" spans="1:14" ht="42.75" customHeight="1">
      <c r="A99" s="93" t="s">
        <v>252</v>
      </c>
      <c r="B99" s="160" t="s">
        <v>253</v>
      </c>
      <c r="C99" s="96">
        <f t="shared" ref="C99:I99" si="15">C100+C101+C102</f>
        <v>0</v>
      </c>
      <c r="D99" s="96">
        <f t="shared" si="15"/>
        <v>474</v>
      </c>
      <c r="E99" s="96">
        <f t="shared" si="15"/>
        <v>474</v>
      </c>
      <c r="F99" s="96">
        <f t="shared" si="15"/>
        <v>126</v>
      </c>
      <c r="G99" s="96">
        <f t="shared" si="15"/>
        <v>252</v>
      </c>
      <c r="H99" s="96">
        <f t="shared" si="15"/>
        <v>379</v>
      </c>
      <c r="I99" s="96">
        <f t="shared" si="15"/>
        <v>505</v>
      </c>
      <c r="J99" s="55"/>
    </row>
    <row r="100" spans="1:14" ht="43.5" customHeight="1">
      <c r="A100" s="93" t="s">
        <v>244</v>
      </c>
      <c r="B100" s="160" t="s">
        <v>254</v>
      </c>
      <c r="C100" s="96">
        <v>0</v>
      </c>
      <c r="D100" s="96">
        <v>430</v>
      </c>
      <c r="E100" s="96">
        <v>430</v>
      </c>
      <c r="F100" s="96">
        <v>118</v>
      </c>
      <c r="G100" s="96">
        <v>236</v>
      </c>
      <c r="H100" s="96">
        <v>354</v>
      </c>
      <c r="I100" s="96">
        <v>472</v>
      </c>
      <c r="J100" s="55"/>
    </row>
    <row r="101" spans="1:14" ht="43.5" customHeight="1">
      <c r="A101" s="93" t="s">
        <v>255</v>
      </c>
      <c r="B101" s="160" t="s">
        <v>256</v>
      </c>
      <c r="C101" s="96">
        <v>0</v>
      </c>
      <c r="D101" s="96">
        <v>14</v>
      </c>
      <c r="E101" s="96">
        <v>14</v>
      </c>
      <c r="F101" s="96">
        <v>0</v>
      </c>
      <c r="G101" s="96">
        <v>0</v>
      </c>
      <c r="H101" s="96">
        <v>0</v>
      </c>
      <c r="I101" s="96">
        <v>0</v>
      </c>
      <c r="J101" s="55"/>
    </row>
    <row r="102" spans="1:14" ht="24" customHeight="1">
      <c r="A102" s="93" t="s">
        <v>257</v>
      </c>
      <c r="B102" s="160" t="s">
        <v>247</v>
      </c>
      <c r="C102" s="96">
        <v>0</v>
      </c>
      <c r="D102" s="96">
        <v>30</v>
      </c>
      <c r="E102" s="96">
        <v>30</v>
      </c>
      <c r="F102" s="96">
        <v>8</v>
      </c>
      <c r="G102" s="96">
        <v>16</v>
      </c>
      <c r="H102" s="96">
        <v>25</v>
      </c>
      <c r="I102" s="96">
        <v>33</v>
      </c>
      <c r="J102" s="55"/>
    </row>
    <row r="103" spans="1:14" ht="35.85" customHeight="1">
      <c r="A103" s="199" t="s">
        <v>258</v>
      </c>
      <c r="B103" s="200">
        <v>1150</v>
      </c>
      <c r="C103" s="183">
        <f>C105+C111</f>
        <v>34505</v>
      </c>
      <c r="D103" s="183">
        <f>D105+D112+D113</f>
        <v>86165</v>
      </c>
      <c r="E103" s="183">
        <f>SUM(E104:E113)</f>
        <v>86165</v>
      </c>
      <c r="F103" s="183">
        <f>SUM(F104:F113)</f>
        <v>5</v>
      </c>
      <c r="G103" s="183">
        <f>SUM(G104:G113)</f>
        <v>5</v>
      </c>
      <c r="H103" s="183">
        <f>SUM(H104:H113)</f>
        <v>5</v>
      </c>
      <c r="I103" s="183">
        <f>SUM(I104:I113)</f>
        <v>5</v>
      </c>
      <c r="J103" s="211"/>
      <c r="K103" s="228"/>
    </row>
    <row r="104" spans="1:14" ht="19.350000000000001" customHeight="1">
      <c r="A104" s="93" t="s">
        <v>259</v>
      </c>
      <c r="B104" s="160" t="s">
        <v>260</v>
      </c>
      <c r="C104" s="96"/>
      <c r="D104" s="96"/>
      <c r="E104" s="96"/>
      <c r="F104" s="96"/>
      <c r="G104" s="96"/>
      <c r="H104" s="96"/>
      <c r="I104" s="96"/>
      <c r="J104" s="211"/>
    </row>
    <row r="105" spans="1:14" ht="60.95" customHeight="1">
      <c r="A105" s="93" t="s">
        <v>155</v>
      </c>
      <c r="B105" s="160" t="s">
        <v>261</v>
      </c>
      <c r="C105" s="96">
        <v>34475</v>
      </c>
      <c r="D105" s="96">
        <v>31731</v>
      </c>
      <c r="E105" s="96">
        <f>D105</f>
        <v>31731</v>
      </c>
      <c r="F105" s="96"/>
      <c r="G105" s="94"/>
      <c r="H105" s="94"/>
      <c r="I105" s="94"/>
      <c r="J105" s="211"/>
      <c r="K105" s="192" t="s">
        <v>262</v>
      </c>
    </row>
    <row r="106" spans="1:14" ht="6.6" hidden="1" customHeight="1">
      <c r="A106" s="93" t="s">
        <v>263</v>
      </c>
      <c r="B106" s="160" t="s">
        <v>264</v>
      </c>
      <c r="C106" s="96">
        <v>1532</v>
      </c>
      <c r="D106" s="96"/>
      <c r="E106" s="96"/>
      <c r="F106" s="96"/>
      <c r="G106" s="96"/>
      <c r="H106" s="96"/>
      <c r="I106" s="96"/>
      <c r="J106" s="211"/>
    </row>
    <row r="107" spans="1:14" ht="25.7" hidden="1" customHeight="1">
      <c r="A107" s="93" t="s">
        <v>265</v>
      </c>
      <c r="B107" s="160" t="s">
        <v>266</v>
      </c>
      <c r="C107" s="96"/>
      <c r="D107" s="96">
        <v>29</v>
      </c>
      <c r="E107" s="96"/>
      <c r="F107" s="96"/>
      <c r="G107" s="96"/>
      <c r="H107" s="96"/>
      <c r="I107" s="96"/>
      <c r="J107" s="211"/>
    </row>
    <row r="108" spans="1:14" ht="18" hidden="1" customHeight="1">
      <c r="A108" s="224" t="s">
        <v>267</v>
      </c>
      <c r="B108" s="160" t="s">
        <v>268</v>
      </c>
      <c r="C108" s="96"/>
      <c r="D108" s="96"/>
      <c r="E108" s="96"/>
      <c r="F108" s="96"/>
      <c r="G108" s="96"/>
      <c r="H108" s="96"/>
      <c r="I108" s="96"/>
      <c r="J108" s="211"/>
    </row>
    <row r="109" spans="1:14" ht="20.45" hidden="1" customHeight="1">
      <c r="A109" s="93" t="s">
        <v>269</v>
      </c>
      <c r="B109" s="160" t="s">
        <v>270</v>
      </c>
      <c r="C109" s="96"/>
      <c r="D109" s="96"/>
      <c r="E109" s="96"/>
      <c r="F109" s="225"/>
      <c r="G109" s="225"/>
      <c r="H109" s="225"/>
      <c r="I109" s="225"/>
      <c r="J109" s="211"/>
      <c r="K109" s="229">
        <f>(Лист3!K41+Лист3!K42)/1000</f>
        <v>621.6327</v>
      </c>
      <c r="L109" s="229">
        <f>(Лист3!L41+Лист3!L42)/1000</f>
        <v>1243.2654</v>
      </c>
      <c r="M109" s="229">
        <f>(Лист3!M41+Лист3!M42)/1000</f>
        <v>1864.8981000000001</v>
      </c>
      <c r="N109" s="229">
        <f>(Лист3!N41+Лист3!N42)/1000</f>
        <v>2486.5308</v>
      </c>
    </row>
    <row r="110" spans="1:14" ht="13.7" hidden="1" customHeight="1">
      <c r="A110" s="93" t="s">
        <v>271</v>
      </c>
      <c r="B110" s="160" t="s">
        <v>272</v>
      </c>
      <c r="C110" s="96"/>
      <c r="D110" s="96"/>
      <c r="E110" s="96"/>
      <c r="F110" s="96"/>
      <c r="G110" s="96"/>
      <c r="H110" s="96"/>
      <c r="I110" s="96"/>
      <c r="J110" s="211"/>
      <c r="K110" s="229"/>
      <c r="L110" s="229"/>
      <c r="M110" s="229"/>
      <c r="N110" s="229"/>
    </row>
    <row r="111" spans="1:14" ht="41.1" customHeight="1">
      <c r="A111" s="93" t="s">
        <v>273</v>
      </c>
      <c r="B111" s="160" t="s">
        <v>274</v>
      </c>
      <c r="C111" s="96">
        <v>30</v>
      </c>
      <c r="D111" s="96"/>
      <c r="E111" s="96"/>
      <c r="F111" s="96">
        <v>5</v>
      </c>
      <c r="G111" s="96">
        <v>5</v>
      </c>
      <c r="H111" s="96">
        <v>5</v>
      </c>
      <c r="I111" s="96">
        <v>5</v>
      </c>
      <c r="J111" s="211"/>
      <c r="K111" s="229"/>
      <c r="L111" s="229"/>
      <c r="M111" s="229"/>
      <c r="N111" s="229"/>
    </row>
    <row r="112" spans="1:14" ht="68.099999999999994" customHeight="1">
      <c r="A112" s="93" t="s">
        <v>275</v>
      </c>
      <c r="B112" s="160" t="s">
        <v>276</v>
      </c>
      <c r="C112" s="96"/>
      <c r="D112" s="96">
        <v>54272</v>
      </c>
      <c r="E112" s="96">
        <v>54272</v>
      </c>
      <c r="F112" s="96"/>
      <c r="G112" s="94"/>
      <c r="H112" s="94"/>
      <c r="I112" s="94"/>
      <c r="J112" s="55"/>
      <c r="K112" s="229"/>
      <c r="L112" s="229"/>
      <c r="M112" s="229"/>
      <c r="N112" s="229"/>
    </row>
    <row r="113" spans="1:17" ht="86.45" customHeight="1">
      <c r="A113" s="93" t="s">
        <v>277</v>
      </c>
      <c r="B113" s="160" t="s">
        <v>278</v>
      </c>
      <c r="C113" s="96"/>
      <c r="D113" s="96">
        <v>162</v>
      </c>
      <c r="E113" s="96">
        <v>162</v>
      </c>
      <c r="F113" s="96"/>
      <c r="G113" s="94"/>
      <c r="H113" s="94"/>
      <c r="I113" s="94"/>
      <c r="J113" s="55"/>
      <c r="K113" s="229"/>
      <c r="L113" s="229"/>
      <c r="M113" s="229"/>
      <c r="N113" s="229"/>
    </row>
    <row r="114" spans="1:17" ht="20.100000000000001" customHeight="1">
      <c r="A114" s="93" t="s">
        <v>154</v>
      </c>
      <c r="B114" s="160">
        <v>1151</v>
      </c>
      <c r="C114" s="96"/>
      <c r="D114" s="96"/>
      <c r="E114" s="96"/>
      <c r="F114" s="96"/>
      <c r="G114" s="96"/>
      <c r="H114" s="96"/>
      <c r="I114" s="96"/>
      <c r="J114" s="211"/>
    </row>
    <row r="115" spans="1:17" ht="42.95" customHeight="1">
      <c r="A115" s="93" t="s">
        <v>279</v>
      </c>
      <c r="B115" s="160">
        <v>1160</v>
      </c>
      <c r="C115" s="96">
        <f>C122</f>
        <v>569</v>
      </c>
      <c r="D115" s="96">
        <f>SUM(D116:D116,D119:D122)</f>
        <v>938</v>
      </c>
      <c r="E115" s="96">
        <f>SUM(E116:E116,E119:E122)</f>
        <v>938</v>
      </c>
      <c r="F115" s="96">
        <f>SUM(F116:F116,F118)</f>
        <v>0</v>
      </c>
      <c r="G115" s="96">
        <f>G122</f>
        <v>0</v>
      </c>
      <c r="H115" s="96">
        <f>H122</f>
        <v>0</v>
      </c>
      <c r="I115" s="96">
        <f>I122</f>
        <v>0</v>
      </c>
      <c r="J115" s="211"/>
    </row>
    <row r="116" spans="1:17" ht="49.9" hidden="1" customHeight="1">
      <c r="A116" s="93" t="s">
        <v>280</v>
      </c>
      <c r="B116" s="160" t="s">
        <v>281</v>
      </c>
      <c r="C116" s="96">
        <f>C117</f>
        <v>0</v>
      </c>
      <c r="D116" s="96"/>
      <c r="E116" s="96"/>
      <c r="F116" s="96"/>
      <c r="G116" s="96"/>
      <c r="H116" s="96"/>
      <c r="I116" s="96"/>
      <c r="J116" s="211"/>
    </row>
    <row r="117" spans="1:17" ht="93.75" hidden="1" customHeight="1">
      <c r="A117" s="93" t="s">
        <v>242</v>
      </c>
      <c r="B117" s="160" t="s">
        <v>282</v>
      </c>
      <c r="C117" s="96"/>
      <c r="D117" s="96"/>
      <c r="E117" s="96"/>
      <c r="F117" s="96"/>
      <c r="G117" s="96"/>
      <c r="H117" s="96"/>
      <c r="I117" s="96"/>
      <c r="J117" s="211"/>
    </row>
    <row r="118" spans="1:17" ht="112.7" hidden="1" customHeight="1">
      <c r="A118" s="93" t="s">
        <v>283</v>
      </c>
      <c r="B118" s="160" t="s">
        <v>284</v>
      </c>
      <c r="C118" s="225">
        <f>C119+C120</f>
        <v>0</v>
      </c>
      <c r="D118" s="225">
        <f>D119+D120</f>
        <v>0</v>
      </c>
      <c r="E118" s="225">
        <f>E119+E120</f>
        <v>0</v>
      </c>
      <c r="F118" s="225"/>
      <c r="G118" s="225"/>
      <c r="H118" s="225"/>
      <c r="I118" s="225"/>
      <c r="J118" s="211"/>
    </row>
    <row r="119" spans="1:17" ht="49.9" hidden="1" customHeight="1">
      <c r="A119" s="93" t="s">
        <v>285</v>
      </c>
      <c r="B119" s="160" t="s">
        <v>286</v>
      </c>
      <c r="C119" s="96"/>
      <c r="D119" s="96"/>
      <c r="E119" s="96"/>
      <c r="F119" s="225"/>
      <c r="G119" s="225"/>
      <c r="H119" s="225"/>
      <c r="I119" s="225"/>
      <c r="J119" s="211"/>
    </row>
    <row r="120" spans="1:17" ht="19.350000000000001" hidden="1" customHeight="1">
      <c r="A120" s="93" t="s">
        <v>287</v>
      </c>
      <c r="B120" s="160" t="s">
        <v>288</v>
      </c>
      <c r="C120" s="96"/>
      <c r="D120" s="96"/>
      <c r="E120" s="96"/>
      <c r="F120" s="225"/>
      <c r="G120" s="225"/>
      <c r="H120" s="225"/>
      <c r="I120" s="225"/>
      <c r="J120" s="211"/>
    </row>
    <row r="121" spans="1:17" ht="96.95" hidden="1" customHeight="1">
      <c r="A121" s="93" t="s">
        <v>289</v>
      </c>
      <c r="B121" s="160" t="s">
        <v>290</v>
      </c>
      <c r="C121" s="96"/>
      <c r="D121" s="96"/>
      <c r="E121" s="96"/>
      <c r="F121" s="96"/>
      <c r="G121" s="96"/>
      <c r="H121" s="96"/>
      <c r="I121" s="96"/>
      <c r="J121" s="211"/>
    </row>
    <row r="122" spans="1:17" ht="25.5" customHeight="1">
      <c r="A122" s="93" t="s">
        <v>154</v>
      </c>
      <c r="B122" s="160">
        <v>1161</v>
      </c>
      <c r="C122" s="96">
        <v>569</v>
      </c>
      <c r="D122" s="96">
        <v>938</v>
      </c>
      <c r="E122" s="96">
        <v>938</v>
      </c>
      <c r="F122" s="96"/>
      <c r="G122" s="96"/>
      <c r="H122" s="96"/>
      <c r="I122" s="96"/>
      <c r="J122" s="55"/>
    </row>
    <row r="123" spans="1:17" s="88" customFormat="1" ht="48" customHeight="1">
      <c r="A123" s="226" t="s">
        <v>84</v>
      </c>
      <c r="B123" s="227">
        <v>1170</v>
      </c>
      <c r="C123" s="144">
        <f t="shared" ref="C123:I123" si="16">C86+C87+C88+C103-C92-C91-C115</f>
        <v>34842</v>
      </c>
      <c r="D123" s="144">
        <f t="shared" si="16"/>
        <v>-23323</v>
      </c>
      <c r="E123" s="144">
        <f t="shared" si="16"/>
        <v>-23323</v>
      </c>
      <c r="F123" s="144">
        <f t="shared" si="16"/>
        <v>-5417</v>
      </c>
      <c r="G123" s="144">
        <f t="shared" si="16"/>
        <v>-13845.3</v>
      </c>
      <c r="H123" s="144">
        <f t="shared" si="16"/>
        <v>-13893</v>
      </c>
      <c r="I123" s="144">
        <f t="shared" si="16"/>
        <v>-18338</v>
      </c>
      <c r="J123" s="210"/>
      <c r="K123" s="208"/>
      <c r="L123" s="208"/>
      <c r="M123" s="208"/>
      <c r="N123" s="208"/>
      <c r="O123" s="230"/>
      <c r="P123" s="230"/>
      <c r="Q123" s="230"/>
    </row>
    <row r="124" spans="1:17" ht="47.1" customHeight="1">
      <c r="A124" s="93" t="s">
        <v>85</v>
      </c>
      <c r="B124" s="160">
        <v>1180</v>
      </c>
      <c r="C124" s="96"/>
      <c r="D124" s="96"/>
      <c r="E124" s="96"/>
      <c r="F124" s="96"/>
      <c r="G124" s="96"/>
      <c r="H124" s="96"/>
      <c r="I124" s="96"/>
      <c r="J124" s="211"/>
    </row>
    <row r="125" spans="1:17" ht="53.1" customHeight="1">
      <c r="A125" s="93" t="s">
        <v>291</v>
      </c>
      <c r="B125" s="160">
        <v>1190</v>
      </c>
      <c r="C125" s="96"/>
      <c r="D125" s="96"/>
      <c r="E125" s="96"/>
      <c r="F125" s="96"/>
      <c r="G125" s="96"/>
      <c r="H125" s="96"/>
      <c r="I125" s="96"/>
      <c r="J125" s="211"/>
    </row>
    <row r="126" spans="1:17" s="88" customFormat="1" ht="42" customHeight="1">
      <c r="A126" s="226" t="s">
        <v>292</v>
      </c>
      <c r="B126" s="227">
        <v>1200</v>
      </c>
      <c r="C126" s="144">
        <f t="shared" ref="C126:I126" si="17">C123-C124-C125</f>
        <v>34842</v>
      </c>
      <c r="D126" s="144">
        <f t="shared" si="17"/>
        <v>-23323</v>
      </c>
      <c r="E126" s="144">
        <f t="shared" si="17"/>
        <v>-23323</v>
      </c>
      <c r="F126" s="144">
        <f t="shared" si="17"/>
        <v>-5417</v>
      </c>
      <c r="G126" s="144">
        <f t="shared" si="17"/>
        <v>-13845.3</v>
      </c>
      <c r="H126" s="144">
        <f t="shared" si="17"/>
        <v>-13893</v>
      </c>
      <c r="I126" s="144">
        <f t="shared" si="17"/>
        <v>-18338</v>
      </c>
      <c r="J126" s="210"/>
      <c r="K126" s="208"/>
      <c r="L126" s="208"/>
      <c r="M126" s="208"/>
      <c r="N126" s="208"/>
    </row>
    <row r="127" spans="1:17" ht="21.95" customHeight="1">
      <c r="A127" s="93" t="s">
        <v>293</v>
      </c>
      <c r="B127" s="160">
        <v>1201</v>
      </c>
      <c r="C127" s="162">
        <f t="shared" ref="C127:I127" si="18">SUMIF(C126,"&gt;0")</f>
        <v>34842</v>
      </c>
      <c r="D127" s="162">
        <f t="shared" si="18"/>
        <v>0</v>
      </c>
      <c r="E127" s="162">
        <f t="shared" si="18"/>
        <v>0</v>
      </c>
      <c r="F127" s="162">
        <f t="shared" si="18"/>
        <v>0</v>
      </c>
      <c r="G127" s="162">
        <f t="shared" si="18"/>
        <v>0</v>
      </c>
      <c r="H127" s="162">
        <f t="shared" si="18"/>
        <v>0</v>
      </c>
      <c r="I127" s="162">
        <f t="shared" si="18"/>
        <v>0</v>
      </c>
      <c r="J127" s="211"/>
    </row>
    <row r="128" spans="1:17" ht="21.95" customHeight="1">
      <c r="A128" s="93" t="s">
        <v>294</v>
      </c>
      <c r="B128" s="160">
        <v>1202</v>
      </c>
      <c r="C128" s="162">
        <f t="shared" ref="C128:I128" si="19">SUMIF(C126,"&lt;0")</f>
        <v>0</v>
      </c>
      <c r="D128" s="162">
        <f t="shared" si="19"/>
        <v>-23323</v>
      </c>
      <c r="E128" s="162">
        <f t="shared" si="19"/>
        <v>-23323</v>
      </c>
      <c r="F128" s="162">
        <f t="shared" si="19"/>
        <v>-5417</v>
      </c>
      <c r="G128" s="162">
        <f t="shared" si="19"/>
        <v>-13845.3</v>
      </c>
      <c r="H128" s="162">
        <f t="shared" si="19"/>
        <v>-13893</v>
      </c>
      <c r="I128" s="162">
        <f t="shared" si="19"/>
        <v>-18338</v>
      </c>
      <c r="J128" s="211"/>
    </row>
    <row r="129" spans="1:14" ht="21.95" customHeight="1">
      <c r="A129" s="93" t="s">
        <v>295</v>
      </c>
      <c r="B129" s="160">
        <v>1210</v>
      </c>
      <c r="C129" s="96"/>
      <c r="D129" s="96"/>
      <c r="E129" s="96"/>
      <c r="F129" s="96"/>
      <c r="G129" s="96"/>
      <c r="H129" s="96"/>
      <c r="I129" s="96"/>
      <c r="J129" s="211"/>
    </row>
    <row r="130" spans="1:14" s="88" customFormat="1" ht="20.100000000000001" customHeight="1">
      <c r="A130" s="346" t="s">
        <v>296</v>
      </c>
      <c r="B130" s="346"/>
      <c r="C130" s="346"/>
      <c r="D130" s="346"/>
      <c r="E130" s="346"/>
      <c r="F130" s="346"/>
      <c r="G130" s="346"/>
      <c r="H130" s="346"/>
      <c r="I130" s="346"/>
      <c r="J130" s="346"/>
      <c r="K130" s="208"/>
      <c r="L130" s="208"/>
      <c r="M130" s="208"/>
      <c r="N130" s="208"/>
    </row>
    <row r="131" spans="1:14" ht="42.75" customHeight="1">
      <c r="A131" s="231" t="s">
        <v>297</v>
      </c>
      <c r="B131" s="196">
        <v>1300</v>
      </c>
      <c r="C131" s="223">
        <f t="shared" ref="C131:I131" si="20">C21-C73</f>
        <v>32072</v>
      </c>
      <c r="D131" s="223">
        <f t="shared" si="20"/>
        <v>-81222</v>
      </c>
      <c r="E131" s="223">
        <f t="shared" si="20"/>
        <v>-81222</v>
      </c>
      <c r="F131" s="223">
        <f t="shared" si="20"/>
        <v>4907</v>
      </c>
      <c r="G131" s="223">
        <f t="shared" si="20"/>
        <v>8027</v>
      </c>
      <c r="H131" s="223">
        <f t="shared" si="20"/>
        <v>31031</v>
      </c>
      <c r="I131" s="223">
        <f t="shared" si="20"/>
        <v>31925</v>
      </c>
      <c r="J131" s="211"/>
    </row>
    <row r="132" spans="1:14" ht="84.95" customHeight="1">
      <c r="A132" s="85" t="s">
        <v>298</v>
      </c>
      <c r="B132" s="196">
        <v>1310</v>
      </c>
      <c r="C132" s="223">
        <f t="shared" ref="C132:I132" si="21">C87+C88-C91-C92</f>
        <v>-25258</v>
      </c>
      <c r="D132" s="223">
        <f t="shared" si="21"/>
        <v>-20106</v>
      </c>
      <c r="E132" s="223">
        <f t="shared" si="21"/>
        <v>-20106</v>
      </c>
      <c r="F132" s="223">
        <f t="shared" si="21"/>
        <v>-8005</v>
      </c>
      <c r="G132" s="223">
        <f t="shared" si="21"/>
        <v>-17877</v>
      </c>
      <c r="H132" s="223">
        <f t="shared" si="21"/>
        <v>-38478</v>
      </c>
      <c r="I132" s="223">
        <f t="shared" si="21"/>
        <v>-42134</v>
      </c>
      <c r="J132" s="211"/>
    </row>
    <row r="133" spans="1:14" ht="42.75" customHeight="1">
      <c r="A133" s="231" t="s">
        <v>299</v>
      </c>
      <c r="B133" s="196">
        <v>1320</v>
      </c>
      <c r="C133" s="223">
        <f t="shared" ref="C133:I133" si="22">C103-C115</f>
        <v>33936</v>
      </c>
      <c r="D133" s="223">
        <f t="shared" si="22"/>
        <v>85227</v>
      </c>
      <c r="E133" s="223">
        <f t="shared" si="22"/>
        <v>85227</v>
      </c>
      <c r="F133" s="223">
        <f t="shared" si="22"/>
        <v>5</v>
      </c>
      <c r="G133" s="223">
        <f t="shared" si="22"/>
        <v>5</v>
      </c>
      <c r="H133" s="223">
        <f t="shared" si="22"/>
        <v>5</v>
      </c>
      <c r="I133" s="223">
        <f t="shared" si="22"/>
        <v>5</v>
      </c>
      <c r="J133" s="211"/>
    </row>
    <row r="134" spans="1:14" ht="60.95" customHeight="1">
      <c r="A134" s="85" t="s">
        <v>300</v>
      </c>
      <c r="B134" s="196">
        <v>1330</v>
      </c>
      <c r="C134" s="223">
        <f t="shared" ref="C134:I134" si="23">C7+C21+C87+C88+C103</f>
        <v>71488</v>
      </c>
      <c r="D134" s="223">
        <f t="shared" si="23"/>
        <v>86490</v>
      </c>
      <c r="E134" s="223">
        <f t="shared" si="23"/>
        <v>86490</v>
      </c>
      <c r="F134" s="223">
        <f t="shared" si="23"/>
        <v>19652</v>
      </c>
      <c r="G134" s="223">
        <f t="shared" si="23"/>
        <v>22855</v>
      </c>
      <c r="H134" s="223">
        <f t="shared" si="23"/>
        <v>45949</v>
      </c>
      <c r="I134" s="223">
        <f t="shared" si="23"/>
        <v>46933</v>
      </c>
      <c r="J134" s="211"/>
    </row>
    <row r="135" spans="1:14" ht="93.95" customHeight="1">
      <c r="A135" s="85" t="s">
        <v>301</v>
      </c>
      <c r="B135" s="196">
        <v>1340</v>
      </c>
      <c r="C135" s="223">
        <f t="shared" ref="C135:I135" si="24">C10+C26+C65+C73+C91+C92+C115+C124+C125</f>
        <v>36646</v>
      </c>
      <c r="D135" s="223">
        <f t="shared" si="24"/>
        <v>109813</v>
      </c>
      <c r="E135" s="223">
        <f t="shared" si="24"/>
        <v>109813</v>
      </c>
      <c r="F135" s="223">
        <f t="shared" si="24"/>
        <v>25069</v>
      </c>
      <c r="G135" s="223">
        <f t="shared" si="24"/>
        <v>36700.300000000003</v>
      </c>
      <c r="H135" s="223">
        <f t="shared" si="24"/>
        <v>59842</v>
      </c>
      <c r="I135" s="223">
        <f t="shared" si="24"/>
        <v>65271</v>
      </c>
      <c r="J135" s="211"/>
    </row>
    <row r="136" spans="1:14" ht="20.100000000000001" customHeight="1">
      <c r="A136" s="346" t="s">
        <v>302</v>
      </c>
      <c r="B136" s="346"/>
      <c r="C136" s="346"/>
      <c r="D136" s="346"/>
      <c r="E136" s="346"/>
      <c r="F136" s="346"/>
      <c r="G136" s="346"/>
      <c r="H136" s="346"/>
      <c r="I136" s="346"/>
      <c r="J136" s="346"/>
    </row>
    <row r="137" spans="1:14" ht="50.1" customHeight="1">
      <c r="A137" s="85" t="s">
        <v>303</v>
      </c>
      <c r="B137" s="196">
        <v>1400</v>
      </c>
      <c r="C137" s="223">
        <f t="shared" ref="C137:I137" si="25">C86</f>
        <v>26164</v>
      </c>
      <c r="D137" s="223">
        <f t="shared" si="25"/>
        <v>-88444</v>
      </c>
      <c r="E137" s="223">
        <f t="shared" si="25"/>
        <v>-88444</v>
      </c>
      <c r="F137" s="223">
        <f t="shared" si="25"/>
        <v>2583</v>
      </c>
      <c r="G137" s="223">
        <f t="shared" si="25"/>
        <v>4026.7000000000007</v>
      </c>
      <c r="H137" s="223">
        <f t="shared" si="25"/>
        <v>24580</v>
      </c>
      <c r="I137" s="223">
        <f t="shared" si="25"/>
        <v>23791</v>
      </c>
      <c r="J137" s="211"/>
    </row>
    <row r="138" spans="1:14" ht="25.5" customHeight="1">
      <c r="A138" s="85" t="s">
        <v>304</v>
      </c>
      <c r="B138" s="196">
        <v>1401</v>
      </c>
      <c r="C138" s="223">
        <f t="shared" ref="C138:I138" si="26">C149</f>
        <v>62</v>
      </c>
      <c r="D138" s="223">
        <f t="shared" si="26"/>
        <v>90</v>
      </c>
      <c r="E138" s="223">
        <f t="shared" si="26"/>
        <v>90</v>
      </c>
      <c r="F138" s="223">
        <f t="shared" si="26"/>
        <v>22</v>
      </c>
      <c r="G138" s="223">
        <f t="shared" si="26"/>
        <v>44</v>
      </c>
      <c r="H138" s="223">
        <f t="shared" si="26"/>
        <v>66</v>
      </c>
      <c r="I138" s="223">
        <f t="shared" si="26"/>
        <v>87</v>
      </c>
      <c r="J138" s="211"/>
    </row>
    <row r="139" spans="1:14" ht="34.35" customHeight="1">
      <c r="A139" s="85" t="s">
        <v>305</v>
      </c>
      <c r="B139" s="196">
        <v>1402</v>
      </c>
      <c r="C139" s="223">
        <f>C23</f>
        <v>36970</v>
      </c>
      <c r="D139" s="223">
        <f t="shared" ref="D139:I139" si="27">D27</f>
        <v>0</v>
      </c>
      <c r="E139" s="223">
        <f t="shared" si="27"/>
        <v>0</v>
      </c>
      <c r="F139" s="223">
        <f t="shared" si="27"/>
        <v>0</v>
      </c>
      <c r="G139" s="223">
        <f t="shared" si="27"/>
        <v>0</v>
      </c>
      <c r="H139" s="223">
        <f t="shared" si="27"/>
        <v>0</v>
      </c>
      <c r="I139" s="223">
        <f t="shared" si="27"/>
        <v>0</v>
      </c>
      <c r="J139" s="211"/>
    </row>
    <row r="140" spans="1:14" ht="41.1" customHeight="1">
      <c r="A140" s="85" t="s">
        <v>306</v>
      </c>
      <c r="B140" s="196">
        <v>1403</v>
      </c>
      <c r="C140" s="223">
        <f t="shared" ref="C140:I140" si="28">C77</f>
        <v>4887</v>
      </c>
      <c r="D140" s="223">
        <f t="shared" si="28"/>
        <v>0</v>
      </c>
      <c r="E140" s="223">
        <f t="shared" si="28"/>
        <v>0</v>
      </c>
      <c r="F140" s="223">
        <f t="shared" si="28"/>
        <v>0</v>
      </c>
      <c r="G140" s="223">
        <f t="shared" si="28"/>
        <v>0</v>
      </c>
      <c r="H140" s="223">
        <f t="shared" si="28"/>
        <v>0</v>
      </c>
      <c r="I140" s="223">
        <f t="shared" si="28"/>
        <v>0</v>
      </c>
      <c r="J140" s="211"/>
    </row>
    <row r="141" spans="1:14" ht="34.35" customHeight="1">
      <c r="A141" s="85" t="s">
        <v>307</v>
      </c>
      <c r="B141" s="196">
        <v>1404</v>
      </c>
      <c r="C141" s="223"/>
      <c r="D141" s="223"/>
      <c r="E141" s="223"/>
      <c r="F141" s="223"/>
      <c r="G141" s="223"/>
      <c r="H141" s="223"/>
      <c r="I141" s="223"/>
      <c r="J141" s="211"/>
    </row>
    <row r="142" spans="1:14" s="88" customFormat="1" ht="21.95" customHeight="1">
      <c r="A142" s="232" t="s">
        <v>80</v>
      </c>
      <c r="B142" s="233">
        <v>1410</v>
      </c>
      <c r="C142" s="185">
        <f t="shared" ref="C142:I142" si="29">C137+C138-C139+C140</f>
        <v>-5857</v>
      </c>
      <c r="D142" s="185">
        <f t="shared" si="29"/>
        <v>-88354</v>
      </c>
      <c r="E142" s="185">
        <f t="shared" si="29"/>
        <v>-88354</v>
      </c>
      <c r="F142" s="185">
        <f t="shared" si="29"/>
        <v>2605</v>
      </c>
      <c r="G142" s="185">
        <f t="shared" si="29"/>
        <v>4070.7000000000007</v>
      </c>
      <c r="H142" s="185">
        <f t="shared" si="29"/>
        <v>24646</v>
      </c>
      <c r="I142" s="185">
        <f t="shared" si="29"/>
        <v>23878</v>
      </c>
      <c r="J142" s="210"/>
      <c r="K142" s="208"/>
      <c r="L142" s="208"/>
      <c r="M142" s="208"/>
      <c r="N142" s="208"/>
    </row>
    <row r="143" spans="1:14" ht="21.95" customHeight="1">
      <c r="A143" s="346" t="s">
        <v>308</v>
      </c>
      <c r="B143" s="346"/>
      <c r="C143" s="346"/>
      <c r="D143" s="346"/>
      <c r="E143" s="346"/>
      <c r="F143" s="346"/>
      <c r="G143" s="346"/>
      <c r="H143" s="346"/>
      <c r="I143" s="346"/>
      <c r="J143" s="346"/>
    </row>
    <row r="144" spans="1:14" ht="21.95" customHeight="1">
      <c r="A144" s="161" t="s">
        <v>309</v>
      </c>
      <c r="B144" s="234">
        <v>1500</v>
      </c>
      <c r="C144" s="96">
        <f t="shared" ref="C144:I144" si="30">C145+C146</f>
        <v>0</v>
      </c>
      <c r="D144" s="96">
        <f t="shared" si="30"/>
        <v>0</v>
      </c>
      <c r="E144" s="96">
        <f t="shared" si="30"/>
        <v>0</v>
      </c>
      <c r="F144" s="96">
        <f t="shared" si="30"/>
        <v>0</v>
      </c>
      <c r="G144" s="96">
        <f t="shared" si="30"/>
        <v>0</v>
      </c>
      <c r="H144" s="96">
        <f t="shared" si="30"/>
        <v>0</v>
      </c>
      <c r="I144" s="96">
        <f t="shared" si="30"/>
        <v>0</v>
      </c>
      <c r="J144" s="211"/>
    </row>
    <row r="145" spans="1:14" ht="21.95" customHeight="1">
      <c r="A145" s="161" t="s">
        <v>140</v>
      </c>
      <c r="B145" s="234">
        <v>1501</v>
      </c>
      <c r="C145" s="96">
        <f>C11</f>
        <v>0</v>
      </c>
      <c r="D145" s="96">
        <f t="shared" ref="D145:I145" si="31">D16</f>
        <v>0</v>
      </c>
      <c r="E145" s="96">
        <f t="shared" si="31"/>
        <v>0</v>
      </c>
      <c r="F145" s="96">
        <f t="shared" si="31"/>
        <v>0</v>
      </c>
      <c r="G145" s="96">
        <f t="shared" si="31"/>
        <v>0</v>
      </c>
      <c r="H145" s="96">
        <f t="shared" si="31"/>
        <v>0</v>
      </c>
      <c r="I145" s="96">
        <f t="shared" si="31"/>
        <v>0</v>
      </c>
      <c r="J145" s="211"/>
    </row>
    <row r="146" spans="1:14" ht="21.95" customHeight="1">
      <c r="A146" s="161" t="s">
        <v>310</v>
      </c>
      <c r="B146" s="234">
        <v>1502</v>
      </c>
      <c r="C146" s="96">
        <f>C12+C13</f>
        <v>0</v>
      </c>
      <c r="D146" s="96">
        <f t="shared" ref="D146:I146" si="32">D17+D18</f>
        <v>0</v>
      </c>
      <c r="E146" s="96">
        <f t="shared" si="32"/>
        <v>0</v>
      </c>
      <c r="F146" s="96">
        <f t="shared" si="32"/>
        <v>0</v>
      </c>
      <c r="G146" s="96">
        <f t="shared" si="32"/>
        <v>0</v>
      </c>
      <c r="H146" s="96">
        <f t="shared" si="32"/>
        <v>0</v>
      </c>
      <c r="I146" s="96">
        <f t="shared" si="32"/>
        <v>0</v>
      </c>
      <c r="J146" s="211"/>
    </row>
    <row r="147" spans="1:14" ht="21.95" customHeight="1">
      <c r="A147" s="161" t="s">
        <v>311</v>
      </c>
      <c r="B147" s="234">
        <v>1510</v>
      </c>
      <c r="C147" s="96">
        <f t="shared" ref="C147:I147" si="33">C14+C34</f>
        <v>3683</v>
      </c>
      <c r="D147" s="96">
        <f t="shared" si="33"/>
        <v>4471</v>
      </c>
      <c r="E147" s="96">
        <f t="shared" si="33"/>
        <v>4471</v>
      </c>
      <c r="F147" s="96">
        <f t="shared" si="33"/>
        <v>1109</v>
      </c>
      <c r="G147" s="96">
        <f t="shared" si="33"/>
        <v>2219</v>
      </c>
      <c r="H147" s="96">
        <f t="shared" si="33"/>
        <v>3328</v>
      </c>
      <c r="I147" s="96">
        <f t="shared" si="33"/>
        <v>4437</v>
      </c>
      <c r="J147" s="211"/>
    </row>
    <row r="148" spans="1:14" ht="21.95" customHeight="1">
      <c r="A148" s="161" t="s">
        <v>12</v>
      </c>
      <c r="B148" s="234">
        <v>1520</v>
      </c>
      <c r="C148" s="96">
        <f t="shared" ref="C148:I148" si="34">C15+C35</f>
        <v>784</v>
      </c>
      <c r="D148" s="96">
        <f t="shared" si="34"/>
        <v>971</v>
      </c>
      <c r="E148" s="96">
        <f t="shared" si="34"/>
        <v>971</v>
      </c>
      <c r="F148" s="96">
        <f t="shared" si="34"/>
        <v>241</v>
      </c>
      <c r="G148" s="96">
        <f t="shared" si="34"/>
        <v>482.3</v>
      </c>
      <c r="H148" s="96">
        <f t="shared" si="34"/>
        <v>723</v>
      </c>
      <c r="I148" s="96">
        <f t="shared" si="34"/>
        <v>964</v>
      </c>
      <c r="J148" s="211"/>
      <c r="K148" s="229">
        <f>ROUND(Лист1!C17,0)</f>
        <v>241</v>
      </c>
      <c r="L148" s="229">
        <f>ROUND(Лист1!D17,0)</f>
        <v>482</v>
      </c>
      <c r="M148" s="229">
        <f>ROUND(Лист1!E17,0)</f>
        <v>723</v>
      </c>
      <c r="N148" s="229">
        <f>ROUND(Лист1!F17,0)</f>
        <v>964</v>
      </c>
    </row>
    <row r="149" spans="1:14" ht="21.95" customHeight="1">
      <c r="A149" s="161" t="s">
        <v>312</v>
      </c>
      <c r="B149" s="234">
        <v>1530</v>
      </c>
      <c r="C149" s="96">
        <f t="shared" ref="C149:I149" si="35">C17+C36</f>
        <v>62</v>
      </c>
      <c r="D149" s="96">
        <f t="shared" si="35"/>
        <v>90</v>
      </c>
      <c r="E149" s="96">
        <f t="shared" si="35"/>
        <v>90</v>
      </c>
      <c r="F149" s="96">
        <f t="shared" si="35"/>
        <v>22</v>
      </c>
      <c r="G149" s="96">
        <f t="shared" si="35"/>
        <v>44</v>
      </c>
      <c r="H149" s="96">
        <f t="shared" si="35"/>
        <v>66</v>
      </c>
      <c r="I149" s="96">
        <f t="shared" si="35"/>
        <v>87</v>
      </c>
      <c r="J149" s="211"/>
      <c r="K149" s="229">
        <f>K148-F148</f>
        <v>0</v>
      </c>
      <c r="L149" s="229">
        <f>L148-G148</f>
        <v>-0.30000000000001137</v>
      </c>
      <c r="M149" s="229">
        <f>M148-H148</f>
        <v>0</v>
      </c>
      <c r="N149" s="229">
        <f>N148-I148</f>
        <v>0</v>
      </c>
    </row>
    <row r="150" spans="1:14" ht="21.95" customHeight="1">
      <c r="A150" s="161" t="s">
        <v>313</v>
      </c>
      <c r="B150" s="234">
        <v>1540</v>
      </c>
      <c r="C150" s="96">
        <f t="shared" ref="C150:I150" si="36">C157</f>
        <v>32117</v>
      </c>
      <c r="D150" s="96">
        <f t="shared" si="36"/>
        <v>104281</v>
      </c>
      <c r="E150" s="96">
        <f t="shared" si="36"/>
        <v>104281</v>
      </c>
      <c r="F150" s="96">
        <f t="shared" si="36"/>
        <v>23697</v>
      </c>
      <c r="G150" s="96">
        <f t="shared" si="36"/>
        <v>33955</v>
      </c>
      <c r="H150" s="96">
        <f t="shared" si="36"/>
        <v>55725</v>
      </c>
      <c r="I150" s="96">
        <f t="shared" si="36"/>
        <v>59783</v>
      </c>
      <c r="J150" s="211"/>
      <c r="K150" s="249">
        <f t="shared" ref="K150:N151" si="37">K14+K34</f>
        <v>1109</v>
      </c>
      <c r="L150" s="249">
        <f t="shared" si="37"/>
        <v>2219</v>
      </c>
      <c r="M150" s="249">
        <f t="shared" si="37"/>
        <v>3328</v>
      </c>
      <c r="N150" s="249">
        <f t="shared" si="37"/>
        <v>4437</v>
      </c>
    </row>
    <row r="151" spans="1:14" s="88" customFormat="1" ht="21.95" customHeight="1">
      <c r="A151" s="235" t="s">
        <v>314</v>
      </c>
      <c r="B151" s="236">
        <v>1550</v>
      </c>
      <c r="C151" s="149">
        <f t="shared" ref="C151:I151" si="38">SUM(C144,C147:C150)</f>
        <v>36646</v>
      </c>
      <c r="D151" s="149">
        <f t="shared" si="38"/>
        <v>109813</v>
      </c>
      <c r="E151" s="149">
        <f t="shared" si="38"/>
        <v>109813</v>
      </c>
      <c r="F151" s="149">
        <f t="shared" si="38"/>
        <v>25069</v>
      </c>
      <c r="G151" s="149">
        <f t="shared" si="38"/>
        <v>36700.300000000003</v>
      </c>
      <c r="H151" s="149">
        <f t="shared" si="38"/>
        <v>59842</v>
      </c>
      <c r="I151" s="149">
        <f t="shared" si="38"/>
        <v>65271</v>
      </c>
      <c r="J151" s="210"/>
      <c r="K151" s="249">
        <f t="shared" si="37"/>
        <v>241</v>
      </c>
      <c r="L151" s="249">
        <f t="shared" si="37"/>
        <v>482.3</v>
      </c>
      <c r="M151" s="249">
        <f t="shared" si="37"/>
        <v>723</v>
      </c>
      <c r="N151" s="249">
        <f t="shared" si="37"/>
        <v>964</v>
      </c>
    </row>
    <row r="152" spans="1:14" ht="16.5" customHeight="1">
      <c r="A152" s="133"/>
      <c r="B152" s="67"/>
      <c r="C152" s="168"/>
      <c r="D152" s="237"/>
      <c r="E152" s="237"/>
      <c r="F152" s="238"/>
      <c r="G152" s="237"/>
      <c r="H152" s="237"/>
      <c r="I152" s="237"/>
      <c r="J152" s="138"/>
    </row>
    <row r="153" spans="1:14" ht="43.5" customHeight="1">
      <c r="A153" s="133" t="s">
        <v>122</v>
      </c>
      <c r="B153" s="67"/>
      <c r="C153" s="337" t="s">
        <v>123</v>
      </c>
      <c r="D153" s="337"/>
      <c r="E153" s="337"/>
      <c r="F153" s="337"/>
      <c r="G153" s="337"/>
      <c r="H153" s="338" t="s">
        <v>124</v>
      </c>
      <c r="I153" s="338"/>
      <c r="J153" s="338"/>
      <c r="K153" s="76"/>
    </row>
    <row r="154" spans="1:14" s="39" customFormat="1" ht="20.100000000000001" customHeight="1">
      <c r="A154" s="67" t="s">
        <v>125</v>
      </c>
      <c r="B154" s="138"/>
      <c r="C154" s="347" t="s">
        <v>126</v>
      </c>
      <c r="D154" s="347"/>
      <c r="E154" s="347"/>
      <c r="F154" s="347"/>
      <c r="G154" s="347"/>
      <c r="H154" s="239"/>
      <c r="I154" s="347" t="s">
        <v>127</v>
      </c>
      <c r="J154" s="347"/>
      <c r="K154" s="250"/>
      <c r="L154" s="214"/>
      <c r="M154" s="214"/>
      <c r="N154" s="214"/>
    </row>
    <row r="155" spans="1:14" ht="20.100000000000001" customHeight="1">
      <c r="A155" s="240"/>
      <c r="C155" s="241"/>
      <c r="D155" s="242"/>
      <c r="E155" s="242"/>
      <c r="F155" s="243"/>
      <c r="G155" s="242"/>
      <c r="H155" s="242"/>
      <c r="I155" s="242"/>
    </row>
    <row r="156" spans="1:14" s="190" customFormat="1" ht="19.350000000000001" customHeight="1">
      <c r="A156" s="244"/>
      <c r="B156" s="245"/>
      <c r="C156" s="246"/>
      <c r="D156" s="247"/>
      <c r="E156" s="247"/>
      <c r="F156" s="248"/>
      <c r="G156" s="247"/>
      <c r="H156" s="247"/>
      <c r="I156" s="247"/>
      <c r="K156" s="192"/>
      <c r="L156" s="192"/>
      <c r="M156" s="192"/>
      <c r="N156" s="192"/>
    </row>
    <row r="157" spans="1:14" s="190" customFormat="1" ht="19.350000000000001" customHeight="1">
      <c r="A157" s="244"/>
      <c r="B157" s="245"/>
      <c r="C157" s="248">
        <f>C135-SUM(C145:C149)</f>
        <v>32117</v>
      </c>
      <c r="D157" s="243">
        <f>D135-SUM(D145:D149)-D116-D119-D124</f>
        <v>104281</v>
      </c>
      <c r="E157" s="243">
        <f>E135-SUM(E145:E149)-E116-E119-E124</f>
        <v>104281</v>
      </c>
      <c r="F157" s="243">
        <f>F135-SUM(F145:F149)-F116-F119</f>
        <v>23697</v>
      </c>
      <c r="G157" s="243">
        <f>G135-SUM(G145:G149)-G116-G119</f>
        <v>33955</v>
      </c>
      <c r="H157" s="243">
        <f>H135-SUM(H145:H149)-H116-H119-H124</f>
        <v>55725</v>
      </c>
      <c r="I157" s="243">
        <f>I135-SUM(I145:I149)-I116-I119-I124</f>
        <v>59783</v>
      </c>
      <c r="J157" s="79"/>
      <c r="K157" s="192"/>
      <c r="L157" s="192"/>
      <c r="M157" s="192"/>
      <c r="N157" s="192"/>
    </row>
    <row r="158" spans="1:14" s="190" customFormat="1" ht="19.350000000000001" customHeight="1">
      <c r="A158" s="244"/>
      <c r="B158" s="245"/>
      <c r="C158" s="246"/>
      <c r="D158" s="242"/>
      <c r="E158" s="242"/>
      <c r="F158" s="243"/>
      <c r="G158" s="242"/>
      <c r="H158" s="242"/>
      <c r="I158" s="242"/>
      <c r="J158" s="79"/>
      <c r="K158" s="192"/>
      <c r="L158" s="192"/>
      <c r="M158" s="192"/>
      <c r="N158" s="192"/>
    </row>
    <row r="159" spans="1:14" s="190" customFormat="1" ht="19.350000000000001" customHeight="1">
      <c r="A159" s="244"/>
      <c r="B159" s="245"/>
      <c r="C159" s="246"/>
      <c r="D159" s="242"/>
      <c r="E159" s="242"/>
      <c r="F159" s="243"/>
      <c r="G159" s="242"/>
      <c r="H159" s="242"/>
      <c r="I159" s="242"/>
      <c r="J159" s="79"/>
      <c r="K159" s="192"/>
      <c r="L159" s="192"/>
      <c r="M159" s="192"/>
      <c r="N159" s="192"/>
    </row>
    <row r="160" spans="1:14" s="190" customFormat="1" ht="19.350000000000001" customHeight="1">
      <c r="A160" s="244"/>
      <c r="B160" s="245"/>
      <c r="C160" s="246"/>
      <c r="D160" s="242"/>
      <c r="E160" s="242"/>
      <c r="F160" s="243">
        <f>F7*0.2-(F144+F150-F51-F37-F57-F58-F59-F92-F62)*0.2</f>
        <v>-3007.6</v>
      </c>
      <c r="G160" s="243">
        <f>G7*0.2-(G144+G150-G51-G37-G57-G58-G59-G92-G62)*0.2</f>
        <v>-3011.0000000000005</v>
      </c>
      <c r="H160" s="243">
        <f>(H7+H83)*0.2-(H144+H150-H51-H37-H57-H58-H59-H92-H62)*0.2</f>
        <v>-3013.6</v>
      </c>
      <c r="I160" s="243">
        <f>(I7+I83)*0.2-(I144+I150-I51-I37-I57-I58-I59-I92-I62)*0.2</f>
        <v>-3017</v>
      </c>
      <c r="J160" s="79"/>
      <c r="K160" s="192"/>
      <c r="L160" s="192"/>
      <c r="M160" s="192"/>
      <c r="N160" s="192"/>
    </row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16">
    <mergeCell ref="A143:J143"/>
    <mergeCell ref="C153:G153"/>
    <mergeCell ref="H153:J153"/>
    <mergeCell ref="C154:G154"/>
    <mergeCell ref="I154:J154"/>
    <mergeCell ref="A1:J1"/>
    <mergeCell ref="F3:I3"/>
    <mergeCell ref="A6:J6"/>
    <mergeCell ref="A130:J130"/>
    <mergeCell ref="A136:J136"/>
    <mergeCell ref="A3:A4"/>
    <mergeCell ref="B3:B4"/>
    <mergeCell ref="C3:C4"/>
    <mergeCell ref="D3:D4"/>
    <mergeCell ref="E3:E4"/>
    <mergeCell ref="J3:J4"/>
  </mergeCells>
  <pageMargins left="1.1812499999999999" right="0.39374999999999999" top="0.59027777777777801" bottom="0.59027777777777801" header="0.51180555555555496" footer="0.51180555555555496"/>
  <pageSetup paperSize="9" scale="43" firstPageNumber="0" orientation="portrait" useFirstPageNumber="1" horizontalDpi="300" verticalDpi="300"/>
  <rowBreaks count="2" manualBreakCount="2">
    <brk id="53" max="16383" man="1"/>
    <brk id="1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W43"/>
  <sheetViews>
    <sheetView tabSelected="1" zoomScale="65" zoomScaleNormal="65" workbookViewId="0">
      <pane ySplit="5" topLeftCell="A24" activePane="bottomLeft" state="frozen"/>
      <selection pane="bottomLeft" activeCell="H46" sqref="H46"/>
    </sheetView>
  </sheetViews>
  <sheetFormatPr defaultColWidth="9" defaultRowHeight="18.75" outlineLevelRow="1"/>
  <cols>
    <col min="1" max="1" width="61" style="178" customWidth="1"/>
    <col min="2" max="2" width="15.140625" style="179" customWidth="1"/>
    <col min="3" max="3" width="13" style="179" customWidth="1"/>
    <col min="4" max="4" width="14.85546875" style="179" customWidth="1"/>
    <col min="5" max="5" width="13.42578125" style="179" customWidth="1"/>
    <col min="6" max="6" width="13.85546875" style="178" customWidth="1"/>
    <col min="7" max="7" width="13.140625" style="178" customWidth="1"/>
    <col min="8" max="8" width="13" style="178" customWidth="1"/>
    <col min="9" max="9" width="14.42578125" style="178" customWidth="1"/>
    <col min="10" max="10" width="10" style="178" customWidth="1"/>
    <col min="11" max="11" width="9.5703125" style="178" customWidth="1"/>
    <col min="12" max="254" width="9.140625" style="178" customWidth="1"/>
    <col min="255" max="257" width="77.7109375" style="178" customWidth="1"/>
    <col min="258" max="1025" width="77.7109375" customWidth="1"/>
  </cols>
  <sheetData>
    <row r="1" spans="1:9" ht="18.75" customHeight="1">
      <c r="A1" s="351" t="s">
        <v>315</v>
      </c>
      <c r="B1" s="351"/>
      <c r="C1" s="351"/>
      <c r="D1" s="351"/>
      <c r="E1" s="351"/>
      <c r="F1" s="351"/>
      <c r="G1" s="351"/>
      <c r="H1" s="351"/>
      <c r="I1" s="351"/>
    </row>
    <row r="2" spans="1:9" ht="18.75" customHeight="1" outlineLevel="1">
      <c r="A2" s="113"/>
      <c r="B2" s="59"/>
      <c r="C2" s="113"/>
      <c r="D2" s="113"/>
      <c r="E2" s="113"/>
      <c r="F2" s="113"/>
      <c r="G2" s="113"/>
      <c r="H2" s="113"/>
      <c r="I2" s="113"/>
    </row>
    <row r="3" spans="1:9" ht="38.25" customHeight="1">
      <c r="A3" s="354" t="s">
        <v>61</v>
      </c>
      <c r="B3" s="355" t="s">
        <v>62</v>
      </c>
      <c r="C3" s="355" t="s">
        <v>63</v>
      </c>
      <c r="D3" s="355" t="s">
        <v>64</v>
      </c>
      <c r="E3" s="356" t="s">
        <v>66</v>
      </c>
      <c r="F3" s="352" t="s">
        <v>129</v>
      </c>
      <c r="G3" s="352"/>
      <c r="H3" s="352"/>
      <c r="I3" s="352"/>
    </row>
    <row r="4" spans="1:9" ht="50.25" customHeight="1">
      <c r="A4" s="354"/>
      <c r="B4" s="355"/>
      <c r="C4" s="355"/>
      <c r="D4" s="355"/>
      <c r="E4" s="356"/>
      <c r="F4" s="43" t="s">
        <v>131</v>
      </c>
      <c r="G4" s="43" t="s">
        <v>7</v>
      </c>
      <c r="H4" s="43" t="s">
        <v>8</v>
      </c>
      <c r="I4" s="43" t="s">
        <v>9</v>
      </c>
    </row>
    <row r="5" spans="1:9" ht="18" customHeight="1">
      <c r="A5" s="115">
        <v>1</v>
      </c>
      <c r="B5" s="114">
        <v>2</v>
      </c>
      <c r="C5" s="114">
        <v>3</v>
      </c>
      <c r="D5" s="114">
        <v>4</v>
      </c>
      <c r="E5" s="114">
        <v>5</v>
      </c>
      <c r="F5" s="44">
        <v>6</v>
      </c>
      <c r="G5" s="44">
        <v>7</v>
      </c>
      <c r="H5" s="44">
        <v>8</v>
      </c>
      <c r="I5" s="44">
        <v>9</v>
      </c>
    </row>
    <row r="6" spans="1:9" ht="24.95" customHeight="1">
      <c r="A6" s="336" t="s">
        <v>316</v>
      </c>
      <c r="B6" s="336"/>
      <c r="C6" s="336"/>
      <c r="D6" s="336"/>
      <c r="E6" s="336"/>
      <c r="F6" s="336"/>
      <c r="G6" s="336"/>
      <c r="H6" s="336"/>
      <c r="I6" s="336"/>
    </row>
    <row r="7" spans="1:9" ht="57" customHeight="1">
      <c r="A7" s="116" t="s">
        <v>317</v>
      </c>
      <c r="B7" s="44">
        <v>2000</v>
      </c>
      <c r="C7" s="94">
        <v>-50894</v>
      </c>
      <c r="D7" s="96">
        <v>-27449</v>
      </c>
      <c r="E7" s="162">
        <v>-27449</v>
      </c>
      <c r="F7" s="144">
        <f>E19</f>
        <v>-50772</v>
      </c>
      <c r="G7" s="144">
        <f>E19</f>
        <v>-50772</v>
      </c>
      <c r="H7" s="144">
        <f>E19</f>
        <v>-50772</v>
      </c>
      <c r="I7" s="144">
        <f>E19</f>
        <v>-50772</v>
      </c>
    </row>
    <row r="8" spans="1:9" ht="37.5" customHeight="1">
      <c r="A8" s="126" t="s">
        <v>318</v>
      </c>
      <c r="B8" s="44">
        <v>2010</v>
      </c>
      <c r="C8" s="144">
        <f t="shared" ref="C8:I8" si="0">C9+C10</f>
        <v>5047</v>
      </c>
      <c r="D8" s="144">
        <f t="shared" si="0"/>
        <v>0</v>
      </c>
      <c r="E8" s="144">
        <f t="shared" si="0"/>
        <v>0</v>
      </c>
      <c r="F8" s="144">
        <f t="shared" si="0"/>
        <v>0</v>
      </c>
      <c r="G8" s="144">
        <f t="shared" si="0"/>
        <v>0</v>
      </c>
      <c r="H8" s="144">
        <f t="shared" si="0"/>
        <v>0</v>
      </c>
      <c r="I8" s="144">
        <f t="shared" si="0"/>
        <v>0</v>
      </c>
    </row>
    <row r="9" spans="1:9" ht="42.75" customHeight="1">
      <c r="A9" s="58" t="s">
        <v>319</v>
      </c>
      <c r="B9" s="44">
        <v>2011</v>
      </c>
      <c r="C9" s="94">
        <v>5047</v>
      </c>
      <c r="D9" s="94"/>
      <c r="E9" s="94"/>
      <c r="F9" s="94"/>
      <c r="G9" s="94"/>
      <c r="H9" s="94"/>
      <c r="I9" s="94"/>
    </row>
    <row r="10" spans="1:9" ht="99.75" customHeight="1">
      <c r="A10" s="58" t="s">
        <v>320</v>
      </c>
      <c r="B10" s="44">
        <v>2012</v>
      </c>
      <c r="C10" s="94"/>
      <c r="D10" s="94"/>
      <c r="E10" s="94"/>
      <c r="F10" s="94"/>
      <c r="G10" s="94"/>
      <c r="H10" s="94"/>
      <c r="I10" s="94"/>
    </row>
    <row r="11" spans="1:9" ht="20.100000000000001" customHeight="1">
      <c r="A11" s="58" t="s">
        <v>321</v>
      </c>
      <c r="B11" s="44">
        <v>2020</v>
      </c>
      <c r="C11" s="94"/>
      <c r="D11" s="94"/>
      <c r="E11" s="94"/>
      <c r="F11" s="94"/>
      <c r="G11" s="94"/>
      <c r="H11" s="94"/>
      <c r="I11" s="94"/>
    </row>
    <row r="12" spans="1:9" s="176" customFormat="1" ht="20.100000000000001" customHeight="1">
      <c r="A12" s="126" t="s">
        <v>322</v>
      </c>
      <c r="B12" s="44">
        <v>2030</v>
      </c>
      <c r="C12" s="94"/>
      <c r="D12" s="94"/>
      <c r="E12" s="94"/>
      <c r="F12" s="94"/>
      <c r="G12" s="94"/>
      <c r="H12" s="94"/>
      <c r="I12" s="94"/>
    </row>
    <row r="13" spans="1:9" ht="37.5" customHeight="1">
      <c r="A13" s="126" t="s">
        <v>323</v>
      </c>
      <c r="B13" s="44">
        <v>2031</v>
      </c>
      <c r="C13" s="94"/>
      <c r="D13" s="94"/>
      <c r="E13" s="94"/>
      <c r="F13" s="94"/>
      <c r="G13" s="94"/>
      <c r="H13" s="94"/>
      <c r="I13" s="94"/>
    </row>
    <row r="14" spans="1:9" ht="20.100000000000001" customHeight="1">
      <c r="A14" s="126" t="s">
        <v>324</v>
      </c>
      <c r="B14" s="44">
        <v>2040</v>
      </c>
      <c r="C14" s="94"/>
      <c r="D14" s="94"/>
      <c r="E14" s="94"/>
      <c r="F14" s="94"/>
      <c r="G14" s="94"/>
      <c r="H14" s="94"/>
      <c r="I14" s="94"/>
    </row>
    <row r="15" spans="1:9" ht="20.100000000000001" customHeight="1">
      <c r="A15" s="143" t="s">
        <v>325</v>
      </c>
      <c r="B15" s="44">
        <v>2050</v>
      </c>
      <c r="C15" s="94"/>
      <c r="D15" s="94"/>
      <c r="E15" s="94"/>
      <c r="F15" s="94"/>
      <c r="G15" s="94"/>
      <c r="H15" s="94"/>
      <c r="I15" s="94"/>
    </row>
    <row r="16" spans="1:9" ht="20.100000000000001" customHeight="1">
      <c r="A16" s="143" t="s">
        <v>326</v>
      </c>
      <c r="B16" s="44">
        <v>2060</v>
      </c>
      <c r="C16" s="94">
        <f>C17+C18</f>
        <v>4862</v>
      </c>
      <c r="D16" s="94">
        <f>D17+D18</f>
        <v>0</v>
      </c>
      <c r="E16" s="96"/>
      <c r="F16" s="94">
        <f>F17+F18</f>
        <v>0</v>
      </c>
      <c r="G16" s="94">
        <f>G17+G18</f>
        <v>0</v>
      </c>
      <c r="H16" s="94">
        <f>H17+H18</f>
        <v>0</v>
      </c>
      <c r="I16" s="94">
        <f>I17+I18</f>
        <v>0</v>
      </c>
    </row>
    <row r="17" spans="1:11" ht="69.75" customHeight="1">
      <c r="A17" s="126" t="s">
        <v>327</v>
      </c>
      <c r="B17" s="61" t="s">
        <v>328</v>
      </c>
      <c r="C17" s="94">
        <v>92</v>
      </c>
      <c r="D17" s="94"/>
      <c r="E17" s="94"/>
      <c r="F17" s="94"/>
      <c r="G17" s="94"/>
      <c r="H17" s="94"/>
      <c r="I17" s="94"/>
    </row>
    <row r="18" spans="1:11" ht="87" customHeight="1">
      <c r="A18" s="126" t="s">
        <v>329</v>
      </c>
      <c r="B18" s="61" t="s">
        <v>330</v>
      </c>
      <c r="C18" s="94">
        <v>4770</v>
      </c>
      <c r="D18" s="94"/>
      <c r="E18" s="94"/>
      <c r="F18" s="94"/>
      <c r="G18" s="94"/>
      <c r="H18" s="94"/>
      <c r="I18" s="94"/>
    </row>
    <row r="19" spans="1:11" ht="54.75" customHeight="1">
      <c r="A19" s="116" t="s">
        <v>331</v>
      </c>
      <c r="B19" s="180">
        <v>2070</v>
      </c>
      <c r="C19" s="149">
        <f>'I. Фін результат'!C126+'ІІ.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-25961</v>
      </c>
      <c r="D19" s="149">
        <f>'I. Фін результат'!D126+'ІІ.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-50772</v>
      </c>
      <c r="E19" s="149">
        <f>'I. Фін результат'!E126+'ІІ.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-50772</v>
      </c>
      <c r="F19" s="149">
        <f>'I. Фін результат'!F126+'ІІ. Розр. з бюджетом'!F7-('ІІ. Розр. з бюджетом'!F8+'ІІ. Розр. з бюджетом'!F11+'ІІ. Розр. з бюджетом'!F12+'ІІ. Розр. з бюджетом'!F14+'ІІ. Розр. з бюджетом'!F15+'ІІ. Розр. з бюджетом'!F16)</f>
        <v>-56189</v>
      </c>
      <c r="G19" s="149">
        <f>'I. Фін результат'!G126+'ІІ. Розр. з бюджетом'!G7-('ІІ. Розр. з бюджетом'!G8+'ІІ. Розр. з бюджетом'!G11+'ІІ. Розр. з бюджетом'!G12+'ІІ. Розр. з бюджетом'!G14+'ІІ. Розр. з бюджетом'!G15+'ІІ. Розр. з бюджетом'!G16)</f>
        <v>-64617.3</v>
      </c>
      <c r="H19" s="149">
        <f>'I. Фін результат'!H126+'ІІ. Розр. з бюджетом'!H7-('ІІ. Розр. з бюджетом'!H8+'ІІ. Розр. з бюджетом'!H11+'ІІ. Розр. з бюджетом'!H12+'ІІ. Розр. з бюджетом'!H14+'ІІ. Розр. з бюджетом'!H15+'ІІ. Розр. з бюджетом'!H16)</f>
        <v>-64665</v>
      </c>
      <c r="I19" s="149">
        <f>'I. Фін результат'!I126+'ІІ. Розр. з бюджетом'!I7-('ІІ. Розр. з бюджетом'!I8+'ІІ. Розр. з бюджетом'!I11+'ІІ. Розр. з бюджетом'!I12+'ІІ. Розр. з бюджетом'!I14+'ІІ. Розр. з бюджетом'!I15+'ІІ. Розр. з бюджетом'!I16)</f>
        <v>-69110</v>
      </c>
      <c r="J19" s="353"/>
      <c r="K19" s="353"/>
    </row>
    <row r="20" spans="1:11" ht="39" customHeight="1">
      <c r="A20" s="336" t="s">
        <v>332</v>
      </c>
      <c r="B20" s="336"/>
      <c r="C20" s="336"/>
      <c r="D20" s="336"/>
      <c r="E20" s="336"/>
      <c r="F20" s="336"/>
      <c r="G20" s="336"/>
      <c r="H20" s="336"/>
      <c r="I20" s="336"/>
    </row>
    <row r="21" spans="1:11" ht="37.5" customHeight="1">
      <c r="A21" s="143" t="s">
        <v>318</v>
      </c>
      <c r="B21" s="56">
        <v>2100</v>
      </c>
      <c r="C21" s="144">
        <f t="shared" ref="C21:I21" si="1">SUM(C22:C23)</f>
        <v>5047</v>
      </c>
      <c r="D21" s="144">
        <f t="shared" si="1"/>
        <v>0</v>
      </c>
      <c r="E21" s="144">
        <f t="shared" si="1"/>
        <v>-0.44</v>
      </c>
      <c r="F21" s="144">
        <f t="shared" si="1"/>
        <v>0</v>
      </c>
      <c r="G21" s="144">
        <f t="shared" si="1"/>
        <v>0</v>
      </c>
      <c r="H21" s="144">
        <f t="shared" si="1"/>
        <v>0</v>
      </c>
      <c r="I21" s="144">
        <f t="shared" si="1"/>
        <v>0</v>
      </c>
    </row>
    <row r="22" spans="1:11" ht="42.75" customHeight="1">
      <c r="A22" s="103" t="s">
        <v>319</v>
      </c>
      <c r="B22" s="56">
        <v>2101</v>
      </c>
      <c r="C22" s="144">
        <f>C9</f>
        <v>5047</v>
      </c>
      <c r="D22" s="144">
        <v>0</v>
      </c>
      <c r="E22" s="144"/>
      <c r="F22" s="144">
        <f>F9</f>
        <v>0</v>
      </c>
      <c r="G22" s="144">
        <f>G9</f>
        <v>0</v>
      </c>
      <c r="H22" s="144">
        <f>H9</f>
        <v>0</v>
      </c>
      <c r="I22" s="144">
        <f>I9</f>
        <v>0</v>
      </c>
    </row>
    <row r="23" spans="1:11" ht="103.5" customHeight="1">
      <c r="A23" s="103" t="s">
        <v>320</v>
      </c>
      <c r="B23" s="56">
        <v>2102</v>
      </c>
      <c r="C23" s="144"/>
      <c r="D23" s="144">
        <f>D10</f>
        <v>0</v>
      </c>
      <c r="E23" s="144">
        <f>E10-0.44</f>
        <v>-0.44</v>
      </c>
      <c r="F23" s="144">
        <f>F10</f>
        <v>0</v>
      </c>
      <c r="G23" s="144">
        <f>G6</f>
        <v>0</v>
      </c>
      <c r="H23" s="144">
        <f>H6</f>
        <v>0</v>
      </c>
      <c r="I23" s="144">
        <f>I6</f>
        <v>0</v>
      </c>
    </row>
    <row r="24" spans="1:11" s="176" customFormat="1" ht="20.100000000000001" customHeight="1">
      <c r="A24" s="143" t="s">
        <v>91</v>
      </c>
      <c r="B24" s="181">
        <v>2110</v>
      </c>
      <c r="C24" s="144">
        <v>908</v>
      </c>
      <c r="D24" s="144">
        <v>0</v>
      </c>
      <c r="E24" s="144"/>
      <c r="F24" s="144">
        <v>0</v>
      </c>
      <c r="G24" s="144">
        <v>0</v>
      </c>
      <c r="H24" s="144">
        <v>0</v>
      </c>
      <c r="I24" s="144">
        <v>0</v>
      </c>
    </row>
    <row r="25" spans="1:11" ht="56.25" customHeight="1">
      <c r="A25" s="143" t="s">
        <v>333</v>
      </c>
      <c r="B25" s="181">
        <v>2120</v>
      </c>
      <c r="C25" s="94"/>
      <c r="D25" s="94"/>
      <c r="E25" s="94"/>
      <c r="F25" s="94"/>
      <c r="G25" s="94">
        <f>ROUND('I. Фін результат'!G159,0)</f>
        <v>0</v>
      </c>
      <c r="H25" s="94">
        <v>0</v>
      </c>
      <c r="I25" s="94">
        <v>0</v>
      </c>
    </row>
    <row r="26" spans="1:11" ht="56.25" customHeight="1">
      <c r="A26" s="143" t="s">
        <v>334</v>
      </c>
      <c r="B26" s="181">
        <v>2130</v>
      </c>
      <c r="C26" s="94">
        <v>35596</v>
      </c>
      <c r="D26" s="94">
        <v>-16509</v>
      </c>
      <c r="E26" s="94">
        <v>-16509</v>
      </c>
      <c r="F26" s="94">
        <f>ROUND('I. Фін результат'!F160,0)</f>
        <v>-3008</v>
      </c>
      <c r="G26" s="94">
        <f>ROUND('I. Фін результат'!G160,0)</f>
        <v>-3011</v>
      </c>
      <c r="H26" s="94">
        <f>ROUND('I. Фін результат'!H160,0)</f>
        <v>-3014</v>
      </c>
      <c r="I26" s="94">
        <f>ROUND('I. Фін результат'!I160,0)</f>
        <v>-3017</v>
      </c>
    </row>
    <row r="27" spans="1:11" s="177" customFormat="1" ht="56.25" customHeight="1">
      <c r="A27" s="147" t="s">
        <v>335</v>
      </c>
      <c r="B27" s="182">
        <v>2140</v>
      </c>
      <c r="C27" s="149">
        <f t="shared" ref="C27:I27" si="2">SUM(C28:C32,C35,C36)</f>
        <v>723</v>
      </c>
      <c r="D27" s="149">
        <f t="shared" si="2"/>
        <v>872</v>
      </c>
      <c r="E27" s="149">
        <f t="shared" si="2"/>
        <v>872</v>
      </c>
      <c r="F27" s="149">
        <f t="shared" si="2"/>
        <v>217</v>
      </c>
      <c r="G27" s="149">
        <f t="shared" si="2"/>
        <v>432</v>
      </c>
      <c r="H27" s="149">
        <f t="shared" si="2"/>
        <v>649</v>
      </c>
      <c r="I27" s="149">
        <f t="shared" si="2"/>
        <v>866</v>
      </c>
      <c r="J27" s="178"/>
    </row>
    <row r="28" spans="1:11" ht="20.100000000000001" customHeight="1">
      <c r="A28" s="143" t="s">
        <v>336</v>
      </c>
      <c r="B28" s="181">
        <v>2141</v>
      </c>
      <c r="C28" s="94"/>
      <c r="D28" s="94"/>
      <c r="E28" s="94"/>
      <c r="F28" s="94"/>
      <c r="G28" s="94"/>
      <c r="H28" s="94"/>
      <c r="I28" s="94"/>
    </row>
    <row r="29" spans="1:11" ht="20.100000000000001" customHeight="1">
      <c r="A29" s="143" t="s">
        <v>337</v>
      </c>
      <c r="B29" s="181">
        <v>2142</v>
      </c>
      <c r="C29" s="94"/>
      <c r="D29" s="94"/>
      <c r="E29" s="94"/>
      <c r="F29" s="94"/>
      <c r="G29" s="94"/>
      <c r="H29" s="94"/>
      <c r="I29" s="94"/>
    </row>
    <row r="30" spans="1:11" ht="20.100000000000001" customHeight="1">
      <c r="A30" s="143" t="s">
        <v>338</v>
      </c>
      <c r="B30" s="181">
        <v>2143</v>
      </c>
      <c r="C30" s="94"/>
      <c r="D30" s="94"/>
      <c r="E30" s="94"/>
      <c r="F30" s="94"/>
      <c r="G30" s="94"/>
      <c r="H30" s="94"/>
      <c r="I30" s="94"/>
    </row>
    <row r="31" spans="1:11" ht="20.100000000000001" customHeight="1">
      <c r="A31" s="143" t="s">
        <v>339</v>
      </c>
      <c r="B31" s="181">
        <v>2144</v>
      </c>
      <c r="C31" s="183">
        <v>667</v>
      </c>
      <c r="D31" s="183">
        <v>805</v>
      </c>
      <c r="E31" s="183">
        <v>805</v>
      </c>
      <c r="F31" s="184">
        <f>ROUND(Лист1!C18,0)</f>
        <v>200</v>
      </c>
      <c r="G31" s="184">
        <f>ROUND(Лист1!D18,0)</f>
        <v>399</v>
      </c>
      <c r="H31" s="184">
        <f>ROUND(Лист1!E18,0)</f>
        <v>599</v>
      </c>
      <c r="I31" s="184">
        <f>ROUND(Лист1!F18,0)</f>
        <v>799</v>
      </c>
    </row>
    <row r="32" spans="1:11" s="176" customFormat="1" ht="20.100000000000001" customHeight="1">
      <c r="A32" s="143" t="s">
        <v>340</v>
      </c>
      <c r="B32" s="181">
        <v>2145</v>
      </c>
      <c r="C32" s="94">
        <f>C33+C34</f>
        <v>0</v>
      </c>
      <c r="D32" s="94"/>
      <c r="E32" s="94"/>
      <c r="F32" s="94"/>
      <c r="G32" s="94"/>
      <c r="H32" s="94"/>
      <c r="I32" s="94"/>
    </row>
    <row r="33" spans="1:10" ht="75" customHeight="1">
      <c r="A33" s="143" t="s">
        <v>341</v>
      </c>
      <c r="B33" s="181" t="s">
        <v>342</v>
      </c>
      <c r="C33" s="94"/>
      <c r="D33" s="94"/>
      <c r="E33" s="94"/>
      <c r="F33" s="94"/>
      <c r="G33" s="94"/>
      <c r="H33" s="94"/>
      <c r="I33" s="94"/>
    </row>
    <row r="34" spans="1:10" ht="20.100000000000001" customHeight="1">
      <c r="A34" s="143" t="s">
        <v>343</v>
      </c>
      <c r="B34" s="181" t="s">
        <v>344</v>
      </c>
      <c r="C34" s="94"/>
      <c r="D34" s="94"/>
      <c r="E34" s="94"/>
      <c r="F34" s="94"/>
      <c r="G34" s="94"/>
      <c r="H34" s="94"/>
      <c r="I34" s="94"/>
    </row>
    <row r="35" spans="1:10" s="176" customFormat="1" ht="20.100000000000001" customHeight="1">
      <c r="A35" s="143" t="s">
        <v>345</v>
      </c>
      <c r="B35" s="181">
        <v>2146</v>
      </c>
      <c r="C35" s="94"/>
      <c r="D35" s="94"/>
      <c r="E35" s="94"/>
      <c r="F35" s="94"/>
      <c r="G35" s="94"/>
      <c r="H35" s="94"/>
      <c r="I35" s="94"/>
    </row>
    <row r="36" spans="1:10" ht="20.100000000000001" customHeight="1">
      <c r="A36" s="143" t="s">
        <v>346</v>
      </c>
      <c r="B36" s="181">
        <v>2147</v>
      </c>
      <c r="C36" s="94">
        <f t="shared" ref="C36:I36" si="3">C37</f>
        <v>56</v>
      </c>
      <c r="D36" s="94">
        <f t="shared" si="3"/>
        <v>67</v>
      </c>
      <c r="E36" s="94">
        <f t="shared" si="3"/>
        <v>67</v>
      </c>
      <c r="F36" s="94">
        <f t="shared" si="3"/>
        <v>17</v>
      </c>
      <c r="G36" s="94">
        <f t="shared" si="3"/>
        <v>33</v>
      </c>
      <c r="H36" s="94">
        <f t="shared" si="3"/>
        <v>50</v>
      </c>
      <c r="I36" s="94">
        <f t="shared" si="3"/>
        <v>67</v>
      </c>
    </row>
    <row r="37" spans="1:10" ht="20.100000000000001" customHeight="1">
      <c r="A37" s="143" t="s">
        <v>347</v>
      </c>
      <c r="B37" s="181" t="s">
        <v>348</v>
      </c>
      <c r="C37" s="96">
        <v>56</v>
      </c>
      <c r="D37" s="94">
        <v>67</v>
      </c>
      <c r="E37" s="94">
        <v>67</v>
      </c>
      <c r="F37" s="184">
        <f>ROUND(Лист1!C19,0)</f>
        <v>17</v>
      </c>
      <c r="G37" s="184">
        <f>ROUND(Лист1!D19,0)</f>
        <v>33</v>
      </c>
      <c r="H37" s="184">
        <f>ROUND(Лист1!E19,0)</f>
        <v>50</v>
      </c>
      <c r="I37" s="184">
        <f>ROUND(Лист1!F19,0)</f>
        <v>67</v>
      </c>
    </row>
    <row r="38" spans="1:10" s="176" customFormat="1" ht="37.5" customHeight="1">
      <c r="A38" s="143" t="s">
        <v>95</v>
      </c>
      <c r="B38" s="181">
        <v>2150</v>
      </c>
      <c r="C38" s="94">
        <v>790</v>
      </c>
      <c r="D38" s="94">
        <v>971</v>
      </c>
      <c r="E38" s="94">
        <v>971</v>
      </c>
      <c r="F38" s="184">
        <f>Лист1!C17</f>
        <v>240.85429999999999</v>
      </c>
      <c r="G38" s="184">
        <f>Лист1!D17</f>
        <v>482.06450000000001</v>
      </c>
      <c r="H38" s="184">
        <f>Лист1!E17</f>
        <v>722.91880000000003</v>
      </c>
      <c r="I38" s="184">
        <f>Лист1!F17</f>
        <v>963.90899999999999</v>
      </c>
    </row>
    <row r="39" spans="1:10" s="176" customFormat="1" ht="20.100000000000001" customHeight="1">
      <c r="A39" s="147" t="s">
        <v>96</v>
      </c>
      <c r="B39" s="182">
        <v>2200</v>
      </c>
      <c r="C39" s="185">
        <f t="shared" ref="C39:I39" si="4">SUM(C21,C24:C26,C27,C38)</f>
        <v>43064</v>
      </c>
      <c r="D39" s="185">
        <f t="shared" si="4"/>
        <v>-14666</v>
      </c>
      <c r="E39" s="185">
        <f t="shared" si="4"/>
        <v>-14666.439999999999</v>
      </c>
      <c r="F39" s="185">
        <f t="shared" si="4"/>
        <v>-2550.1457</v>
      </c>
      <c r="G39" s="185">
        <f t="shared" si="4"/>
        <v>-2096.9355</v>
      </c>
      <c r="H39" s="185">
        <f t="shared" si="4"/>
        <v>-1642.0812000000001</v>
      </c>
      <c r="I39" s="185">
        <f t="shared" si="4"/>
        <v>-1187.0909999999999</v>
      </c>
      <c r="J39" s="178"/>
    </row>
    <row r="40" spans="1:10" s="176" customFormat="1" ht="12.75" customHeight="1">
      <c r="A40" s="186"/>
      <c r="B40" s="187"/>
      <c r="C40" s="188"/>
      <c r="D40" s="189"/>
      <c r="E40" s="189"/>
      <c r="F40" s="189"/>
      <c r="G40" s="189"/>
      <c r="H40" s="189"/>
      <c r="I40" s="189"/>
    </row>
    <row r="41" spans="1:10" s="176" customFormat="1" ht="20.100000000000001" customHeight="1">
      <c r="A41" s="186"/>
      <c r="B41" s="187"/>
      <c r="C41" s="188"/>
      <c r="D41" s="189"/>
      <c r="E41" s="189"/>
      <c r="F41" s="189"/>
      <c r="G41" s="189"/>
      <c r="H41" s="189"/>
      <c r="I41" s="189"/>
    </row>
    <row r="42" spans="1:10" s="79" customFormat="1" ht="20.100000000000001" customHeight="1">
      <c r="A42" s="133" t="s">
        <v>122</v>
      </c>
      <c r="B42" s="67"/>
      <c r="C42" s="337" t="s">
        <v>123</v>
      </c>
      <c r="D42" s="337"/>
      <c r="E42" s="337"/>
      <c r="F42" s="337"/>
      <c r="G42" s="337"/>
      <c r="H42" s="360" t="s">
        <v>124</v>
      </c>
      <c r="I42" s="360"/>
      <c r="J42" s="360"/>
    </row>
    <row r="43" spans="1:10" s="39" customFormat="1" ht="20.100000000000001" customHeight="1">
      <c r="A43" s="67" t="s">
        <v>125</v>
      </c>
      <c r="B43" s="347" t="s">
        <v>126</v>
      </c>
      <c r="C43" s="347"/>
      <c r="D43" s="347"/>
      <c r="E43" s="347"/>
      <c r="F43" s="347"/>
      <c r="G43" s="347" t="s">
        <v>127</v>
      </c>
      <c r="H43" s="347"/>
      <c r="I43" s="347"/>
    </row>
  </sheetData>
  <mergeCells count="14">
    <mergeCell ref="C42:G42"/>
    <mergeCell ref="H42:J42"/>
    <mergeCell ref="B43:F43"/>
    <mergeCell ref="G43:I43"/>
    <mergeCell ref="A3:A4"/>
    <mergeCell ref="B3:B4"/>
    <mergeCell ref="C3:C4"/>
    <mergeCell ref="D3:D4"/>
    <mergeCell ref="E3:E4"/>
    <mergeCell ref="A1:I1"/>
    <mergeCell ref="F3:I3"/>
    <mergeCell ref="A6:I6"/>
    <mergeCell ref="J19:K19"/>
    <mergeCell ref="A20:I20"/>
  </mergeCells>
  <pageMargins left="1.1811023622047245" right="0.39370078740157483" top="0.59055118110236227" bottom="0.59055118110236227" header="0.51181102362204722" footer="0.51181102362204722"/>
  <pageSetup paperSize="9" scale="50" firstPageNumber="0" orientation="portrait" useFirstPageNumber="1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Q1048576"/>
  <sheetViews>
    <sheetView topLeftCell="A82" zoomScale="60" zoomScaleNormal="60" workbookViewId="0">
      <selection activeCell="F132" sqref="F132"/>
    </sheetView>
  </sheetViews>
  <sheetFormatPr defaultColWidth="9" defaultRowHeight="12.75"/>
  <cols>
    <col min="1" max="1" width="47.5703125" customWidth="1"/>
    <col min="2" max="2" width="14.140625" customWidth="1"/>
    <col min="3" max="9" width="15.5703125" customWidth="1"/>
    <col min="10" max="17" width="9.140625" style="142" customWidth="1"/>
    <col min="18" max="1025" width="9" customWidth="1"/>
  </cols>
  <sheetData>
    <row r="1" spans="1:9" ht="18.75" customHeight="1">
      <c r="A1" s="355" t="s">
        <v>349</v>
      </c>
      <c r="B1" s="355"/>
      <c r="C1" s="355"/>
      <c r="D1" s="355"/>
      <c r="E1" s="355"/>
      <c r="F1" s="355"/>
      <c r="G1" s="355"/>
      <c r="H1" s="355"/>
      <c r="I1" s="355"/>
    </row>
    <row r="2" spans="1:9" ht="18.75" customHeight="1">
      <c r="A2" s="355"/>
      <c r="B2" s="355"/>
      <c r="C2" s="355"/>
      <c r="D2" s="355"/>
      <c r="E2" s="355"/>
      <c r="F2" s="355"/>
      <c r="G2" s="355"/>
      <c r="H2" s="355"/>
      <c r="I2" s="355"/>
    </row>
    <row r="3" spans="1:9" ht="18.75" customHeight="1">
      <c r="A3" s="355" t="s">
        <v>61</v>
      </c>
      <c r="B3" s="356" t="s">
        <v>350</v>
      </c>
      <c r="C3" s="356" t="s">
        <v>63</v>
      </c>
      <c r="D3" s="356" t="s">
        <v>351</v>
      </c>
      <c r="E3" s="356" t="s">
        <v>66</v>
      </c>
      <c r="F3" s="352" t="s">
        <v>129</v>
      </c>
      <c r="G3" s="352"/>
      <c r="H3" s="352"/>
      <c r="I3" s="352"/>
    </row>
    <row r="4" spans="1:9" ht="60" customHeight="1">
      <c r="A4" s="355"/>
      <c r="B4" s="356"/>
      <c r="C4" s="356"/>
      <c r="D4" s="356"/>
      <c r="E4" s="356"/>
      <c r="F4" s="43" t="s">
        <v>352</v>
      </c>
      <c r="G4" s="43" t="s">
        <v>7</v>
      </c>
      <c r="H4" s="43" t="s">
        <v>8</v>
      </c>
      <c r="I4" s="43" t="s">
        <v>9</v>
      </c>
    </row>
    <row r="5" spans="1:9" ht="18.75" customHeight="1">
      <c r="A5" s="44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</row>
    <row r="6" spans="1:9" ht="18.75" customHeight="1">
      <c r="A6" s="336" t="s">
        <v>353</v>
      </c>
      <c r="B6" s="336"/>
      <c r="C6" s="336"/>
      <c r="D6" s="336"/>
      <c r="E6" s="336"/>
      <c r="F6" s="336"/>
      <c r="G6" s="336"/>
      <c r="H6" s="336"/>
      <c r="I6" s="336"/>
    </row>
    <row r="7" spans="1:9" ht="37.5" customHeight="1">
      <c r="A7" s="143" t="s">
        <v>354</v>
      </c>
      <c r="B7" s="110">
        <v>1170</v>
      </c>
      <c r="C7" s="144">
        <f>'I. Фін результат'!C123</f>
        <v>34842</v>
      </c>
      <c r="D7" s="144">
        <f>'I. Фін результат'!D123</f>
        <v>-23323</v>
      </c>
      <c r="E7" s="144">
        <f>'I. Фін результат'!E123</f>
        <v>-23323</v>
      </c>
      <c r="F7" s="144">
        <f>'I. Фін результат'!F123</f>
        <v>-5417</v>
      </c>
      <c r="G7" s="144">
        <f>'I. Фін результат'!G123</f>
        <v>-13845.3</v>
      </c>
      <c r="H7" s="144">
        <f>'I. Фін результат'!H123</f>
        <v>-13893</v>
      </c>
      <c r="I7" s="144">
        <f>'I. Фін результат'!I123</f>
        <v>-18338</v>
      </c>
    </row>
    <row r="8" spans="1:9" ht="18.75" customHeight="1">
      <c r="A8" s="143" t="s">
        <v>355</v>
      </c>
      <c r="B8" s="145"/>
      <c r="C8" s="146"/>
      <c r="D8" s="146"/>
      <c r="E8" s="146"/>
      <c r="F8" s="146"/>
      <c r="G8" s="146"/>
      <c r="H8" s="146"/>
      <c r="I8" s="146"/>
    </row>
    <row r="9" spans="1:9" ht="18.75" customHeight="1">
      <c r="A9" s="143" t="s">
        <v>356</v>
      </c>
      <c r="B9" s="110">
        <v>3000</v>
      </c>
      <c r="C9" s="144">
        <f>'I. Фін результат'!C149</f>
        <v>62</v>
      </c>
      <c r="D9" s="144">
        <f>'I. Фін результат'!D149</f>
        <v>90</v>
      </c>
      <c r="E9" s="144">
        <f>'I. Фін результат'!E149</f>
        <v>90</v>
      </c>
      <c r="F9" s="144">
        <f>'I. Фін результат'!F149</f>
        <v>22</v>
      </c>
      <c r="G9" s="144">
        <f>'I. Фін результат'!G149</f>
        <v>44</v>
      </c>
      <c r="H9" s="144">
        <f>'I. Фін результат'!H149</f>
        <v>66</v>
      </c>
      <c r="I9" s="144">
        <f>'I. Фін результат'!I149</f>
        <v>87</v>
      </c>
    </row>
    <row r="10" spans="1:9" ht="37.5" customHeight="1">
      <c r="A10" s="143" t="s">
        <v>357</v>
      </c>
      <c r="B10" s="110">
        <v>3010</v>
      </c>
      <c r="C10" s="94">
        <v>-3863</v>
      </c>
      <c r="D10" s="94"/>
      <c r="E10" s="94"/>
      <c r="F10" s="94"/>
      <c r="G10" s="94"/>
      <c r="H10" s="94"/>
      <c r="I10" s="94"/>
    </row>
    <row r="11" spans="1:9" ht="37.5" customHeight="1">
      <c r="A11" s="143" t="s">
        <v>358</v>
      </c>
      <c r="B11" s="110">
        <v>3020</v>
      </c>
      <c r="C11" s="94">
        <v>-36395</v>
      </c>
      <c r="D11" s="94"/>
      <c r="E11" s="94"/>
      <c r="F11" s="94"/>
      <c r="G11" s="94"/>
      <c r="H11" s="94"/>
      <c r="I11" s="94"/>
    </row>
    <row r="12" spans="1:9" ht="75" customHeight="1">
      <c r="A12" s="143" t="s">
        <v>359</v>
      </c>
      <c r="B12" s="110">
        <v>3030</v>
      </c>
      <c r="C12" s="94">
        <f t="shared" ref="C12:I12" si="0">C13+C14+C15+C16</f>
        <v>-4892</v>
      </c>
      <c r="D12" s="94">
        <f t="shared" si="0"/>
        <v>0</v>
      </c>
      <c r="E12" s="94">
        <f t="shared" si="0"/>
        <v>0</v>
      </c>
      <c r="F12" s="94">
        <f t="shared" si="0"/>
        <v>0</v>
      </c>
      <c r="G12" s="94">
        <f t="shared" si="0"/>
        <v>0</v>
      </c>
      <c r="H12" s="94">
        <f t="shared" si="0"/>
        <v>0</v>
      </c>
      <c r="I12" s="94">
        <f t="shared" si="0"/>
        <v>0</v>
      </c>
    </row>
    <row r="13" spans="1:9" ht="36.75" customHeight="1">
      <c r="A13" s="143" t="s">
        <v>360</v>
      </c>
      <c r="B13" s="110" t="s">
        <v>361</v>
      </c>
      <c r="C13" s="94">
        <v>-30</v>
      </c>
      <c r="D13" s="94"/>
      <c r="E13" s="94"/>
      <c r="F13" s="94"/>
      <c r="G13" s="94"/>
      <c r="H13" s="94"/>
      <c r="I13" s="94"/>
    </row>
    <row r="14" spans="1:9" ht="41.1" hidden="1" customHeight="1">
      <c r="A14" s="143" t="s">
        <v>362</v>
      </c>
      <c r="B14" s="110" t="s">
        <v>363</v>
      </c>
      <c r="C14" s="94"/>
      <c r="D14" s="94"/>
      <c r="E14" s="94"/>
      <c r="F14" s="94"/>
      <c r="G14" s="94"/>
      <c r="H14" s="94"/>
      <c r="I14" s="94"/>
    </row>
    <row r="15" spans="1:9" ht="36.75" customHeight="1">
      <c r="A15" s="143" t="s">
        <v>364</v>
      </c>
      <c r="B15" s="110" t="s">
        <v>363</v>
      </c>
      <c r="C15" s="94">
        <v>-92</v>
      </c>
      <c r="D15" s="94"/>
      <c r="E15" s="94"/>
      <c r="F15" s="94"/>
      <c r="G15" s="94"/>
      <c r="H15" s="94"/>
      <c r="I15" s="94"/>
    </row>
    <row r="16" spans="1:9" ht="36.75" customHeight="1">
      <c r="A16" s="143" t="s">
        <v>365</v>
      </c>
      <c r="B16" s="110" t="s">
        <v>366</v>
      </c>
      <c r="C16" s="94">
        <v>-4770</v>
      </c>
      <c r="D16" s="94"/>
      <c r="E16" s="94"/>
      <c r="F16" s="94"/>
      <c r="G16" s="94"/>
      <c r="H16" s="94"/>
      <c r="I16" s="94"/>
    </row>
    <row r="17" spans="1:15" ht="56.25" customHeight="1">
      <c r="A17" s="147" t="s">
        <v>367</v>
      </c>
      <c r="B17" s="148">
        <v>3040</v>
      </c>
      <c r="C17" s="149">
        <f t="shared" ref="C17:I17" si="1">SUM(C7:C12)</f>
        <v>-10246</v>
      </c>
      <c r="D17" s="149">
        <f t="shared" si="1"/>
        <v>-23233</v>
      </c>
      <c r="E17" s="149">
        <f t="shared" si="1"/>
        <v>-23233</v>
      </c>
      <c r="F17" s="149">
        <f t="shared" si="1"/>
        <v>-5395</v>
      </c>
      <c r="G17" s="149">
        <f t="shared" si="1"/>
        <v>-13801.3</v>
      </c>
      <c r="H17" s="149">
        <f t="shared" si="1"/>
        <v>-13827</v>
      </c>
      <c r="I17" s="149">
        <f t="shared" si="1"/>
        <v>-18251</v>
      </c>
    </row>
    <row r="18" spans="1:15" ht="42.75" customHeight="1">
      <c r="A18" s="143" t="s">
        <v>368</v>
      </c>
      <c r="B18" s="110">
        <v>3050</v>
      </c>
      <c r="C18" s="150">
        <f t="shared" ref="C18:I18" si="2">SUM(C19:C24)</f>
        <v>-96599</v>
      </c>
      <c r="D18" s="150">
        <f t="shared" si="2"/>
        <v>-94501</v>
      </c>
      <c r="E18" s="150">
        <f t="shared" si="2"/>
        <v>-94501</v>
      </c>
      <c r="F18" s="150">
        <f t="shared" si="2"/>
        <v>-88900</v>
      </c>
      <c r="G18" s="150">
        <f t="shared" si="2"/>
        <v>-91200</v>
      </c>
      <c r="H18" s="150">
        <f t="shared" si="2"/>
        <v>-433515</v>
      </c>
      <c r="I18" s="150">
        <f t="shared" si="2"/>
        <v>-435416</v>
      </c>
    </row>
    <row r="19" spans="1:15" ht="45.95" customHeight="1">
      <c r="A19" s="143" t="s">
        <v>369</v>
      </c>
      <c r="B19" s="110" t="s">
        <v>370</v>
      </c>
      <c r="C19" s="96">
        <v>-36491</v>
      </c>
      <c r="D19" s="94">
        <v>-93958</v>
      </c>
      <c r="E19" s="94">
        <v>-93958</v>
      </c>
      <c r="F19" s="94">
        <v>-85000</v>
      </c>
      <c r="G19" s="94">
        <f>-85000</f>
        <v>-85000</v>
      </c>
      <c r="H19" s="151">
        <v>-425000</v>
      </c>
      <c r="I19" s="151">
        <v>-425000</v>
      </c>
      <c r="J19" s="357"/>
      <c r="K19" s="357"/>
      <c r="L19" s="357"/>
      <c r="M19" s="357"/>
      <c r="N19" s="357"/>
      <c r="O19" s="357"/>
    </row>
    <row r="20" spans="1:15" ht="80.099999999999994" customHeight="1">
      <c r="A20" s="152" t="s">
        <v>371</v>
      </c>
      <c r="B20" s="110" t="s">
        <v>372</v>
      </c>
      <c r="C20" s="96">
        <v>-547</v>
      </c>
      <c r="D20" s="94">
        <v>-483</v>
      </c>
      <c r="E20" s="94">
        <v>-483</v>
      </c>
      <c r="F20" s="94">
        <v>-1600</v>
      </c>
      <c r="G20" s="94">
        <v>-3300</v>
      </c>
      <c r="H20" s="94">
        <v>-4965</v>
      </c>
      <c r="I20" s="94">
        <v>-6565</v>
      </c>
      <c r="J20" s="156"/>
      <c r="K20" s="157"/>
      <c r="L20" s="157"/>
      <c r="M20" s="157"/>
      <c r="N20" s="157"/>
      <c r="O20" s="157"/>
    </row>
    <row r="21" spans="1:15" ht="76.5" customHeight="1">
      <c r="A21" s="152" t="s">
        <v>373</v>
      </c>
      <c r="B21" s="110" t="s">
        <v>374</v>
      </c>
      <c r="C21" s="96">
        <v>0</v>
      </c>
      <c r="D21" s="94">
        <v>-60</v>
      </c>
      <c r="E21" s="94">
        <v>-60</v>
      </c>
      <c r="F21" s="94">
        <v>-200</v>
      </c>
      <c r="G21" s="94">
        <v>-800</v>
      </c>
      <c r="H21" s="94">
        <v>-1450</v>
      </c>
      <c r="I21" s="94">
        <v>-1751</v>
      </c>
      <c r="J21" s="156"/>
      <c r="K21" s="157"/>
      <c r="L21" s="157"/>
      <c r="M21" s="157"/>
      <c r="N21" s="157"/>
      <c r="O21" s="157"/>
    </row>
    <row r="22" spans="1:15" ht="99.95" customHeight="1">
      <c r="A22" s="152" t="s">
        <v>375</v>
      </c>
      <c r="B22" s="110" t="s">
        <v>376</v>
      </c>
      <c r="C22" s="96"/>
      <c r="D22" s="94"/>
      <c r="E22" s="94"/>
      <c r="F22" s="94">
        <v>-2100</v>
      </c>
      <c r="G22" s="94">
        <v>-2100</v>
      </c>
      <c r="H22" s="94">
        <v>-2100</v>
      </c>
      <c r="I22" s="94">
        <v>-2100</v>
      </c>
      <c r="J22" s="156"/>
      <c r="K22" s="157"/>
      <c r="L22" s="157"/>
      <c r="M22" s="157"/>
      <c r="N22" s="157"/>
      <c r="O22" s="157"/>
    </row>
    <row r="23" spans="1:15" ht="131.1" customHeight="1">
      <c r="A23" s="152" t="s">
        <v>377</v>
      </c>
      <c r="B23" s="110" t="s">
        <v>378</v>
      </c>
      <c r="C23" s="96">
        <v>-349</v>
      </c>
      <c r="D23" s="94"/>
      <c r="E23" s="94"/>
      <c r="F23" s="94"/>
      <c r="G23" s="94"/>
      <c r="H23" s="94"/>
      <c r="I23" s="94"/>
      <c r="J23" s="156"/>
      <c r="K23" s="157"/>
      <c r="L23" s="157"/>
      <c r="M23" s="157"/>
      <c r="N23" s="157"/>
      <c r="O23" s="157"/>
    </row>
    <row r="24" spans="1:15" ht="41.25" customHeight="1">
      <c r="A24" s="152" t="s">
        <v>379</v>
      </c>
      <c r="B24" s="110" t="s">
        <v>380</v>
      </c>
      <c r="C24" s="96">
        <v>-59212</v>
      </c>
      <c r="D24" s="94"/>
      <c r="E24" s="94"/>
      <c r="F24" s="94"/>
      <c r="G24" s="94"/>
      <c r="H24" s="94"/>
      <c r="I24" s="94"/>
      <c r="J24" s="156"/>
      <c r="K24" s="157"/>
      <c r="L24" s="157"/>
      <c r="M24" s="157"/>
      <c r="N24" s="157"/>
      <c r="O24" s="157"/>
    </row>
    <row r="25" spans="1:15" ht="36.75" customHeight="1">
      <c r="A25" s="143" t="s">
        <v>381</v>
      </c>
      <c r="B25" s="110">
        <v>3060</v>
      </c>
      <c r="C25" s="94">
        <f t="shared" ref="C25:I25" si="3">C26+C27</f>
        <v>28766</v>
      </c>
      <c r="D25" s="94">
        <f t="shared" si="3"/>
        <v>0</v>
      </c>
      <c r="E25" s="94">
        <f t="shared" si="3"/>
        <v>0</v>
      </c>
      <c r="F25" s="94">
        <f t="shared" si="3"/>
        <v>0</v>
      </c>
      <c r="G25" s="94">
        <f t="shared" si="3"/>
        <v>0</v>
      </c>
      <c r="H25" s="94">
        <f t="shared" si="3"/>
        <v>0</v>
      </c>
      <c r="I25" s="96">
        <f t="shared" si="3"/>
        <v>0</v>
      </c>
    </row>
    <row r="26" spans="1:15" ht="18.75" customHeight="1">
      <c r="A26" s="143" t="s">
        <v>382</v>
      </c>
      <c r="B26" s="110" t="s">
        <v>383</v>
      </c>
      <c r="C26" s="96">
        <v>-3816</v>
      </c>
      <c r="D26" s="94"/>
      <c r="E26" s="94"/>
      <c r="F26" s="94">
        <v>-21250</v>
      </c>
      <c r="G26" s="94">
        <v>-21250</v>
      </c>
      <c r="H26" s="94">
        <v>-42500</v>
      </c>
      <c r="I26" s="96">
        <v>-42500</v>
      </c>
    </row>
    <row r="27" spans="1:15" ht="22.5" customHeight="1">
      <c r="A27" s="143" t="s">
        <v>384</v>
      </c>
      <c r="B27" s="110" t="s">
        <v>385</v>
      </c>
      <c r="C27" s="94">
        <v>32582</v>
      </c>
      <c r="D27" s="94"/>
      <c r="E27" s="94"/>
      <c r="F27" s="94">
        <f>F28</f>
        <v>21250</v>
      </c>
      <c r="G27" s="94">
        <f>G28</f>
        <v>21250</v>
      </c>
      <c r="H27" s="94">
        <f>H28</f>
        <v>42500</v>
      </c>
      <c r="I27" s="94">
        <f>I28</f>
        <v>42500</v>
      </c>
    </row>
    <row r="28" spans="1:15" ht="33.6" customHeight="1">
      <c r="A28" s="143" t="s">
        <v>386</v>
      </c>
      <c r="B28" s="153" t="s">
        <v>387</v>
      </c>
      <c r="C28" s="94"/>
      <c r="D28" s="94"/>
      <c r="E28" s="94"/>
      <c r="F28" s="94">
        <v>21250</v>
      </c>
      <c r="G28" s="94">
        <v>21250</v>
      </c>
      <c r="H28" s="94">
        <v>42500</v>
      </c>
      <c r="I28" s="94">
        <v>42500</v>
      </c>
    </row>
    <row r="29" spans="1:15" ht="44.25" customHeight="1">
      <c r="A29" s="147" t="s">
        <v>388</v>
      </c>
      <c r="B29" s="148">
        <v>3070</v>
      </c>
      <c r="C29" s="149">
        <f t="shared" ref="C29:I29" si="4">SUM(C17:C18)+C25</f>
        <v>-78079</v>
      </c>
      <c r="D29" s="149">
        <f t="shared" si="4"/>
        <v>-117734</v>
      </c>
      <c r="E29" s="149">
        <f t="shared" si="4"/>
        <v>-117734</v>
      </c>
      <c r="F29" s="149">
        <f t="shared" si="4"/>
        <v>-94295</v>
      </c>
      <c r="G29" s="149">
        <f t="shared" si="4"/>
        <v>-105001.3</v>
      </c>
      <c r="H29" s="149">
        <f t="shared" si="4"/>
        <v>-447342</v>
      </c>
      <c r="I29" s="149">
        <f t="shared" si="4"/>
        <v>-453667</v>
      </c>
      <c r="J29" s="158"/>
    </row>
    <row r="30" spans="1:15" ht="18.75" customHeight="1">
      <c r="A30" s="143" t="s">
        <v>389</v>
      </c>
      <c r="B30" s="110">
        <v>3080</v>
      </c>
      <c r="C30" s="144">
        <v>908</v>
      </c>
      <c r="D30" s="144"/>
      <c r="E30" s="144"/>
      <c r="F30" s="144">
        <f>'ІІ. Розр. з бюджетом'!F24</f>
        <v>0</v>
      </c>
      <c r="G30" s="144">
        <f>'ІІ. Розр. з бюджетом'!G24</f>
        <v>0</v>
      </c>
      <c r="H30" s="144">
        <f>'ІІ. Розр. з бюджетом'!H24</f>
        <v>0</v>
      </c>
      <c r="I30" s="144">
        <f>'ІІ. Розр. з бюджетом'!I24</f>
        <v>0</v>
      </c>
    </row>
    <row r="31" spans="1:15" ht="37.5" customHeight="1">
      <c r="A31" s="154" t="s">
        <v>390</v>
      </c>
      <c r="B31" s="148">
        <v>3090</v>
      </c>
      <c r="C31" s="149">
        <f t="shared" ref="C31:I31" si="5">C29-C30</f>
        <v>-78987</v>
      </c>
      <c r="D31" s="149">
        <f t="shared" si="5"/>
        <v>-117734</v>
      </c>
      <c r="E31" s="149">
        <f t="shared" si="5"/>
        <v>-117734</v>
      </c>
      <c r="F31" s="149">
        <f t="shared" si="5"/>
        <v>-94295</v>
      </c>
      <c r="G31" s="149">
        <f t="shared" si="5"/>
        <v>-105001.3</v>
      </c>
      <c r="H31" s="149">
        <f t="shared" si="5"/>
        <v>-447342</v>
      </c>
      <c r="I31" s="149">
        <f t="shared" si="5"/>
        <v>-453667</v>
      </c>
      <c r="J31" s="158"/>
    </row>
    <row r="32" spans="1:15" ht="18.75" customHeight="1">
      <c r="A32" s="336" t="s">
        <v>391</v>
      </c>
      <c r="B32" s="336"/>
      <c r="C32" s="336"/>
      <c r="D32" s="336"/>
      <c r="E32" s="336"/>
      <c r="F32" s="336"/>
      <c r="G32" s="336"/>
      <c r="H32" s="336"/>
      <c r="I32" s="336"/>
    </row>
    <row r="33" spans="1:9" ht="18.75" customHeight="1">
      <c r="A33" s="147" t="s">
        <v>392</v>
      </c>
      <c r="B33" s="110"/>
      <c r="C33" s="94"/>
      <c r="D33" s="94"/>
      <c r="E33" s="94"/>
      <c r="F33" s="94"/>
      <c r="G33" s="94"/>
      <c r="H33" s="94"/>
      <c r="I33" s="94"/>
    </row>
    <row r="34" spans="1:9" ht="36" customHeight="1">
      <c r="A34" s="103" t="s">
        <v>393</v>
      </c>
      <c r="B34" s="110">
        <v>3200</v>
      </c>
      <c r="C34" s="94"/>
      <c r="D34" s="94"/>
      <c r="E34" s="94"/>
      <c r="F34" s="94"/>
      <c r="G34" s="94"/>
      <c r="H34" s="94"/>
      <c r="I34" s="94"/>
    </row>
    <row r="35" spans="1:9" ht="39.75" customHeight="1">
      <c r="A35" s="103" t="s">
        <v>394</v>
      </c>
      <c r="B35" s="110">
        <v>3210</v>
      </c>
      <c r="C35" s="94"/>
      <c r="D35" s="94"/>
      <c r="E35" s="94"/>
      <c r="F35" s="94"/>
      <c r="G35" s="94"/>
      <c r="H35" s="94"/>
      <c r="I35" s="94"/>
    </row>
    <row r="36" spans="1:9" ht="37.5" customHeight="1">
      <c r="A36" s="103" t="s">
        <v>395</v>
      </c>
      <c r="B36" s="110">
        <v>3220</v>
      </c>
      <c r="C36" s="94"/>
      <c r="D36" s="94"/>
      <c r="E36" s="94"/>
      <c r="F36" s="94"/>
      <c r="G36" s="94"/>
      <c r="H36" s="94"/>
      <c r="I36" s="94"/>
    </row>
    <row r="37" spans="1:9" ht="18.75" customHeight="1">
      <c r="A37" s="143" t="s">
        <v>396</v>
      </c>
      <c r="B37" s="110"/>
      <c r="C37" s="94"/>
      <c r="D37" s="94"/>
      <c r="E37" s="94"/>
      <c r="F37" s="94"/>
      <c r="G37" s="94"/>
      <c r="H37" s="94"/>
      <c r="I37" s="94"/>
    </row>
    <row r="38" spans="1:9" ht="26.25" customHeight="1">
      <c r="A38" s="103" t="s">
        <v>397</v>
      </c>
      <c r="B38" s="110">
        <v>3230</v>
      </c>
      <c r="C38" s="94"/>
      <c r="D38" s="94">
        <v>130</v>
      </c>
      <c r="E38" s="94">
        <v>130</v>
      </c>
      <c r="F38" s="94"/>
      <c r="G38" s="94"/>
      <c r="H38" s="94"/>
      <c r="I38" s="94"/>
    </row>
    <row r="39" spans="1:9" ht="27.75" customHeight="1">
      <c r="A39" s="103" t="s">
        <v>398</v>
      </c>
      <c r="B39" s="110">
        <v>3240</v>
      </c>
      <c r="C39" s="94"/>
      <c r="D39" s="94"/>
      <c r="E39" s="94"/>
      <c r="F39" s="94"/>
      <c r="G39" s="94"/>
      <c r="H39" s="94"/>
      <c r="I39" s="94"/>
    </row>
    <row r="40" spans="1:9" ht="18.75" customHeight="1">
      <c r="A40" s="143" t="s">
        <v>399</v>
      </c>
      <c r="B40" s="110">
        <v>3250</v>
      </c>
      <c r="C40" s="94"/>
      <c r="D40" s="94"/>
      <c r="E40" s="94"/>
      <c r="F40" s="94"/>
      <c r="G40" s="94"/>
      <c r="H40" s="94"/>
      <c r="I40" s="94"/>
    </row>
    <row r="41" spans="1:9" ht="22.5" customHeight="1">
      <c r="A41" s="103" t="s">
        <v>400</v>
      </c>
      <c r="B41" s="110">
        <v>3260</v>
      </c>
      <c r="C41" s="94">
        <f t="shared" ref="C41:I41" si="6">C42</f>
        <v>0</v>
      </c>
      <c r="D41" s="94">
        <f t="shared" si="6"/>
        <v>0</v>
      </c>
      <c r="E41" s="94">
        <f t="shared" si="6"/>
        <v>0</v>
      </c>
      <c r="F41" s="94">
        <f t="shared" si="6"/>
        <v>0</v>
      </c>
      <c r="G41" s="94">
        <f t="shared" si="6"/>
        <v>0</v>
      </c>
      <c r="H41" s="94">
        <f t="shared" si="6"/>
        <v>0</v>
      </c>
      <c r="I41" s="94">
        <f t="shared" si="6"/>
        <v>0</v>
      </c>
    </row>
    <row r="42" spans="1:9" ht="37.5" customHeight="1">
      <c r="A42" s="103" t="s">
        <v>401</v>
      </c>
      <c r="B42" s="110" t="s">
        <v>402</v>
      </c>
      <c r="C42" s="94"/>
      <c r="D42" s="94"/>
      <c r="E42" s="94"/>
      <c r="F42" s="94"/>
      <c r="G42" s="94"/>
      <c r="H42" s="94"/>
      <c r="I42" s="94"/>
    </row>
    <row r="43" spans="1:9" ht="18.75" customHeight="1">
      <c r="A43" s="147" t="s">
        <v>403</v>
      </c>
      <c r="B43" s="110"/>
      <c r="C43" s="94"/>
      <c r="D43" s="94"/>
      <c r="E43" s="94"/>
      <c r="F43" s="94"/>
      <c r="G43" s="94"/>
      <c r="H43" s="94"/>
      <c r="I43" s="94"/>
    </row>
    <row r="44" spans="1:9" ht="37.5" customHeight="1">
      <c r="A44" s="103" t="s">
        <v>404</v>
      </c>
      <c r="B44" s="110">
        <v>3270</v>
      </c>
      <c r="C44" s="94">
        <f t="shared" ref="C44:I44" si="7">C45+C48+C49</f>
        <v>391</v>
      </c>
      <c r="D44" s="94">
        <f t="shared" si="7"/>
        <v>0</v>
      </c>
      <c r="E44" s="94">
        <f t="shared" si="7"/>
        <v>0</v>
      </c>
      <c r="F44" s="94">
        <f t="shared" si="7"/>
        <v>0</v>
      </c>
      <c r="G44" s="94">
        <f t="shared" si="7"/>
        <v>0</v>
      </c>
      <c r="H44" s="94">
        <f t="shared" si="7"/>
        <v>0</v>
      </c>
      <c r="I44" s="94">
        <f t="shared" si="7"/>
        <v>0</v>
      </c>
    </row>
    <row r="45" spans="1:9" ht="56.25" customHeight="1">
      <c r="A45" s="103" t="s">
        <v>405</v>
      </c>
      <c r="B45" s="110" t="s">
        <v>406</v>
      </c>
      <c r="C45" s="94">
        <v>99</v>
      </c>
      <c r="D45" s="94"/>
      <c r="E45" s="94"/>
      <c r="F45" s="94">
        <v>0</v>
      </c>
      <c r="G45" s="94">
        <v>0</v>
      </c>
      <c r="H45" s="94">
        <v>0</v>
      </c>
      <c r="I45" s="94">
        <v>0</v>
      </c>
    </row>
    <row r="46" spans="1:9" ht="18.75" hidden="1" customHeight="1">
      <c r="A46" s="103" t="s">
        <v>407</v>
      </c>
      <c r="B46" s="110" t="s">
        <v>408</v>
      </c>
      <c r="C46" s="94"/>
      <c r="D46" s="94"/>
      <c r="E46" s="94"/>
      <c r="F46" s="94"/>
      <c r="G46" s="94"/>
      <c r="H46" s="94"/>
      <c r="I46" s="94"/>
    </row>
    <row r="47" spans="1:9" ht="21.6" hidden="1" customHeight="1">
      <c r="A47" s="103" t="s">
        <v>407</v>
      </c>
      <c r="B47" s="110" t="s">
        <v>409</v>
      </c>
      <c r="C47" s="94"/>
      <c r="D47" s="94"/>
      <c r="E47" s="94"/>
      <c r="F47" s="94"/>
      <c r="G47" s="94"/>
      <c r="H47" s="94"/>
      <c r="I47" s="94"/>
    </row>
    <row r="48" spans="1:9" ht="21.6" customHeight="1">
      <c r="A48" s="103" t="s">
        <v>410</v>
      </c>
      <c r="B48" s="110" t="s">
        <v>408</v>
      </c>
      <c r="C48" s="94"/>
      <c r="D48" s="94"/>
      <c r="E48" s="94"/>
      <c r="F48" s="94"/>
      <c r="G48" s="94">
        <v>0</v>
      </c>
      <c r="H48" s="94">
        <f>'6.2. Інша інфо_2'!M31</f>
        <v>0</v>
      </c>
      <c r="I48" s="94">
        <f>'6.2. Інша інфо_2'!N31</f>
        <v>0</v>
      </c>
    </row>
    <row r="49" spans="1:17" ht="38.1" customHeight="1">
      <c r="A49" s="103" t="s">
        <v>411</v>
      </c>
      <c r="B49" s="110" t="s">
        <v>409</v>
      </c>
      <c r="C49" s="94">
        <v>292</v>
      </c>
      <c r="D49" s="94"/>
      <c r="E49" s="94"/>
      <c r="F49" s="94"/>
      <c r="G49" s="94"/>
      <c r="H49" s="94"/>
      <c r="I49" s="94"/>
    </row>
    <row r="50" spans="1:17" ht="36" customHeight="1">
      <c r="A50" s="103" t="s">
        <v>412</v>
      </c>
      <c r="B50" s="110">
        <v>3280</v>
      </c>
      <c r="C50" s="94"/>
      <c r="D50" s="94"/>
      <c r="E50" s="94"/>
      <c r="F50" s="94"/>
      <c r="G50" s="94"/>
      <c r="H50" s="94"/>
      <c r="I50" s="94"/>
    </row>
    <row r="51" spans="1:17" ht="57.75" customHeight="1">
      <c r="A51" s="103" t="s">
        <v>413</v>
      </c>
      <c r="B51" s="110">
        <v>3290</v>
      </c>
      <c r="C51" s="94">
        <f t="shared" ref="C51:I51" si="8">C52</f>
        <v>0</v>
      </c>
      <c r="D51" s="94">
        <f t="shared" si="8"/>
        <v>0</v>
      </c>
      <c r="E51" s="94">
        <f t="shared" si="8"/>
        <v>0</v>
      </c>
      <c r="F51" s="94">
        <f t="shared" si="8"/>
        <v>0</v>
      </c>
      <c r="G51" s="94">
        <f t="shared" si="8"/>
        <v>0</v>
      </c>
      <c r="H51" s="94">
        <f t="shared" si="8"/>
        <v>0</v>
      </c>
      <c r="I51" s="94">
        <f t="shared" si="8"/>
        <v>0</v>
      </c>
    </row>
    <row r="52" spans="1:17" ht="37.5" hidden="1" customHeight="1">
      <c r="A52" s="103" t="s">
        <v>414</v>
      </c>
      <c r="B52" s="110" t="s">
        <v>415</v>
      </c>
      <c r="C52" s="94"/>
      <c r="D52" s="94"/>
      <c r="E52" s="94">
        <f>'IV. Кап. інвестиції'!E10</f>
        <v>0</v>
      </c>
      <c r="F52" s="94"/>
      <c r="G52" s="94"/>
      <c r="H52" s="94"/>
      <c r="I52" s="94"/>
    </row>
    <row r="53" spans="1:17" ht="20.25" customHeight="1">
      <c r="A53" s="103" t="s">
        <v>416</v>
      </c>
      <c r="B53" s="110">
        <v>3300</v>
      </c>
      <c r="C53" s="94"/>
      <c r="D53" s="94"/>
      <c r="E53" s="94"/>
      <c r="F53" s="94"/>
      <c r="G53" s="94"/>
      <c r="H53" s="94"/>
      <c r="I53" s="94"/>
    </row>
    <row r="54" spans="1:17" ht="18.75" customHeight="1">
      <c r="A54" s="103" t="s">
        <v>417</v>
      </c>
      <c r="B54" s="110">
        <v>3310</v>
      </c>
      <c r="C54" s="94">
        <f t="shared" ref="C54:I54" si="9">C55+C56</f>
        <v>0</v>
      </c>
      <c r="D54" s="94">
        <f t="shared" si="9"/>
        <v>0</v>
      </c>
      <c r="E54" s="94">
        <f t="shared" si="9"/>
        <v>0</v>
      </c>
      <c r="F54" s="94">
        <f t="shared" si="9"/>
        <v>0</v>
      </c>
      <c r="G54" s="94">
        <f t="shared" si="9"/>
        <v>0</v>
      </c>
      <c r="H54" s="94">
        <f t="shared" si="9"/>
        <v>0</v>
      </c>
      <c r="I54" s="94">
        <f t="shared" si="9"/>
        <v>0</v>
      </c>
    </row>
    <row r="55" spans="1:17" ht="37.5" customHeight="1">
      <c r="A55" s="103" t="s">
        <v>418</v>
      </c>
      <c r="B55" s="110" t="s">
        <v>419</v>
      </c>
      <c r="C55" s="94"/>
      <c r="D55" s="94"/>
      <c r="E55" s="94"/>
      <c r="F55" s="94"/>
      <c r="G55" s="94"/>
      <c r="H55" s="94"/>
      <c r="I55" s="94"/>
    </row>
    <row r="56" spans="1:17" ht="37.5" customHeight="1">
      <c r="A56" s="103" t="s">
        <v>420</v>
      </c>
      <c r="B56" s="110" t="s">
        <v>421</v>
      </c>
      <c r="C56" s="94"/>
      <c r="D56" s="94"/>
      <c r="E56" s="94">
        <f>'IV. Кап. інвестиції'!E9</f>
        <v>0</v>
      </c>
      <c r="F56" s="94">
        <f>'6.2. Інша інфо_2'!K43</f>
        <v>0</v>
      </c>
      <c r="G56" s="94">
        <f>'6.2. Інша інфо_2'!L43</f>
        <v>0</v>
      </c>
      <c r="H56" s="94">
        <f>'6.2. Інша інфо_2'!M43</f>
        <v>0</v>
      </c>
      <c r="I56" s="94">
        <f>'6.2. Інша інфо_2'!N43</f>
        <v>0</v>
      </c>
    </row>
    <row r="57" spans="1:17" ht="37.5" customHeight="1">
      <c r="A57" s="147" t="s">
        <v>422</v>
      </c>
      <c r="B57" s="148">
        <v>3320</v>
      </c>
      <c r="C57" s="149">
        <f t="shared" ref="C57:I57" si="10">(C34+C35+C36+C38+C39+C40+C41)-(C44+C50+C51+C53+C54)</f>
        <v>-391</v>
      </c>
      <c r="D57" s="149">
        <f t="shared" si="10"/>
        <v>130</v>
      </c>
      <c r="E57" s="149">
        <f t="shared" si="10"/>
        <v>130</v>
      </c>
      <c r="F57" s="149">
        <f t="shared" si="10"/>
        <v>0</v>
      </c>
      <c r="G57" s="149">
        <f t="shared" si="10"/>
        <v>0</v>
      </c>
      <c r="H57" s="149">
        <f t="shared" si="10"/>
        <v>0</v>
      </c>
      <c r="I57" s="149">
        <f t="shared" si="10"/>
        <v>0</v>
      </c>
    </row>
    <row r="58" spans="1:17" ht="18.75" customHeight="1">
      <c r="A58" s="336" t="s">
        <v>423</v>
      </c>
      <c r="B58" s="336"/>
      <c r="C58" s="336"/>
      <c r="D58" s="336"/>
      <c r="E58" s="336"/>
      <c r="F58" s="336"/>
      <c r="G58" s="336"/>
      <c r="H58" s="336"/>
      <c r="I58" s="336"/>
    </row>
    <row r="59" spans="1:17" ht="18.75" customHeight="1">
      <c r="A59" s="147" t="s">
        <v>424</v>
      </c>
      <c r="B59" s="110"/>
      <c r="C59" s="94"/>
      <c r="D59" s="94"/>
      <c r="E59" s="94"/>
      <c r="F59" s="94"/>
      <c r="G59" s="94"/>
      <c r="H59" s="94"/>
      <c r="I59" s="94"/>
    </row>
    <row r="60" spans="1:17" ht="18.75" customHeight="1">
      <c r="A60" s="143" t="s">
        <v>425</v>
      </c>
      <c r="B60" s="110">
        <v>3400</v>
      </c>
      <c r="C60" s="94"/>
      <c r="D60" s="94"/>
      <c r="E60" s="94"/>
      <c r="F60" s="94"/>
      <c r="G60" s="94"/>
      <c r="H60" s="94"/>
      <c r="I60" s="94"/>
    </row>
    <row r="61" spans="1:17" ht="56.25" customHeight="1">
      <c r="A61" s="103" t="s">
        <v>426</v>
      </c>
      <c r="B61" s="135"/>
      <c r="C61" s="94"/>
      <c r="D61" s="94"/>
      <c r="E61" s="94"/>
      <c r="F61" s="94"/>
      <c r="G61" s="94"/>
      <c r="H61" s="94"/>
      <c r="I61" s="94"/>
    </row>
    <row r="62" spans="1:17" ht="18.75" customHeight="1">
      <c r="A62" s="103" t="s">
        <v>427</v>
      </c>
      <c r="B62" s="110">
        <v>3410</v>
      </c>
      <c r="C62" s="94">
        <v>48138</v>
      </c>
      <c r="D62" s="94">
        <v>120080</v>
      </c>
      <c r="E62" s="94">
        <v>120080</v>
      </c>
      <c r="F62" s="94">
        <f>2000*42.5</f>
        <v>85000</v>
      </c>
      <c r="G62" s="94">
        <f>F62</f>
        <v>85000</v>
      </c>
      <c r="H62" s="155">
        <f>G62+8000*42.5</f>
        <v>425000</v>
      </c>
      <c r="I62" s="150">
        <f>H62</f>
        <v>425000</v>
      </c>
      <c r="L62" s="159"/>
      <c r="Q62" s="159"/>
    </row>
    <row r="63" spans="1:17" ht="18.75" customHeight="1">
      <c r="A63" s="103" t="s">
        <v>428</v>
      </c>
      <c r="B63" s="110">
        <v>3420</v>
      </c>
      <c r="C63" s="94"/>
      <c r="D63" s="94"/>
      <c r="E63" s="94"/>
      <c r="F63" s="94"/>
      <c r="G63" s="94"/>
      <c r="H63" s="94"/>
      <c r="I63" s="94"/>
    </row>
    <row r="64" spans="1:17" ht="18.75" customHeight="1">
      <c r="A64" s="103" t="s">
        <v>429</v>
      </c>
      <c r="B64" s="110">
        <v>3430</v>
      </c>
      <c r="C64" s="94"/>
      <c r="D64" s="94"/>
      <c r="E64" s="94"/>
      <c r="F64" s="94"/>
      <c r="G64" s="94"/>
      <c r="H64" s="94"/>
      <c r="I64" s="94"/>
    </row>
    <row r="65" spans="1:17" ht="56.25" customHeight="1">
      <c r="A65" s="103" t="s">
        <v>430</v>
      </c>
      <c r="B65" s="110"/>
      <c r="C65" s="94"/>
      <c r="D65" s="94"/>
      <c r="E65" s="94"/>
      <c r="F65" s="94"/>
      <c r="G65" s="94"/>
      <c r="H65" s="94"/>
      <c r="I65" s="94"/>
      <c r="L65" s="159"/>
    </row>
    <row r="66" spans="1:17" ht="18.75" customHeight="1">
      <c r="A66" s="103" t="s">
        <v>427</v>
      </c>
      <c r="B66" s="110">
        <v>3440</v>
      </c>
      <c r="C66" s="94"/>
      <c r="D66" s="94">
        <v>52806</v>
      </c>
      <c r="E66" s="94">
        <v>52806</v>
      </c>
      <c r="F66" s="94">
        <f>290*42.5</f>
        <v>12325</v>
      </c>
      <c r="G66" s="94">
        <f>F66</f>
        <v>12325</v>
      </c>
      <c r="H66" s="94">
        <f>G66</f>
        <v>12325</v>
      </c>
      <c r="I66" s="150">
        <f>H66</f>
        <v>12325</v>
      </c>
    </row>
    <row r="67" spans="1:17" ht="18.75" customHeight="1">
      <c r="A67" s="103" t="s">
        <v>428</v>
      </c>
      <c r="B67" s="110">
        <v>3450</v>
      </c>
      <c r="C67" s="94"/>
      <c r="D67" s="94"/>
      <c r="E67" s="94"/>
      <c r="F67" s="94"/>
      <c r="G67" s="94"/>
      <c r="H67" s="94"/>
      <c r="I67" s="94"/>
    </row>
    <row r="68" spans="1:17" ht="27" customHeight="1">
      <c r="A68" s="103" t="s">
        <v>429</v>
      </c>
      <c r="B68" s="110">
        <v>3460</v>
      </c>
      <c r="C68" s="94"/>
      <c r="D68" s="94"/>
      <c r="E68" s="94"/>
      <c r="F68" s="94"/>
      <c r="G68" s="94"/>
      <c r="H68" s="94"/>
      <c r="I68" s="94"/>
    </row>
    <row r="69" spans="1:17" ht="37.5" customHeight="1">
      <c r="A69" s="103" t="s">
        <v>431</v>
      </c>
      <c r="B69" s="110">
        <v>3470</v>
      </c>
      <c r="C69" s="94">
        <f t="shared" ref="C69:I69" si="11">C70+C72+C71+C74+C73</f>
        <v>33146</v>
      </c>
      <c r="D69" s="94">
        <f t="shared" si="11"/>
        <v>32326</v>
      </c>
      <c r="E69" s="94">
        <f t="shared" si="11"/>
        <v>32326</v>
      </c>
      <c r="F69" s="94">
        <f t="shared" si="11"/>
        <v>25150</v>
      </c>
      <c r="G69" s="94">
        <f t="shared" si="11"/>
        <v>27450</v>
      </c>
      <c r="H69" s="94">
        <f t="shared" si="11"/>
        <v>51015</v>
      </c>
      <c r="I69" s="94">
        <f t="shared" si="11"/>
        <v>52916</v>
      </c>
      <c r="J69" s="169"/>
    </row>
    <row r="70" spans="1:17" ht="206.1" customHeight="1">
      <c r="A70" s="103" t="s">
        <v>432</v>
      </c>
      <c r="B70" s="110" t="s">
        <v>433</v>
      </c>
      <c r="C70" s="94">
        <v>547</v>
      </c>
      <c r="D70" s="94">
        <v>543</v>
      </c>
      <c r="E70" s="94">
        <v>543</v>
      </c>
      <c r="F70" s="94">
        <v>1800</v>
      </c>
      <c r="G70" s="94">
        <v>4100</v>
      </c>
      <c r="H70" s="94">
        <v>6415</v>
      </c>
      <c r="I70" s="94">
        <v>8316</v>
      </c>
      <c r="J70" s="170"/>
      <c r="K70" s="171"/>
    </row>
    <row r="71" spans="1:17" ht="122.1" customHeight="1">
      <c r="A71" s="103" t="s">
        <v>434</v>
      </c>
      <c r="B71" s="110" t="s">
        <v>435</v>
      </c>
      <c r="C71" s="94"/>
      <c r="D71" s="94"/>
      <c r="E71" s="94"/>
      <c r="F71" s="94">
        <v>2100</v>
      </c>
      <c r="G71" s="94">
        <v>2100</v>
      </c>
      <c r="H71" s="94">
        <v>2100</v>
      </c>
      <c r="I71" s="96">
        <v>2100</v>
      </c>
      <c r="J71" s="170"/>
      <c r="K71" s="171"/>
    </row>
    <row r="72" spans="1:17" ht="176.1" customHeight="1">
      <c r="A72" s="103" t="s">
        <v>436</v>
      </c>
      <c r="B72" s="110" t="s">
        <v>437</v>
      </c>
      <c r="C72" s="94"/>
      <c r="D72" s="94"/>
      <c r="E72" s="94"/>
      <c r="F72" s="94">
        <v>0</v>
      </c>
      <c r="G72" s="94">
        <v>0</v>
      </c>
      <c r="H72" s="94">
        <v>0</v>
      </c>
      <c r="I72" s="94">
        <v>0</v>
      </c>
      <c r="J72" s="170"/>
      <c r="K72" s="171"/>
    </row>
    <row r="73" spans="1:17" ht="43.5" customHeight="1">
      <c r="A73" s="103" t="s">
        <v>438</v>
      </c>
      <c r="B73" s="110" t="s">
        <v>439</v>
      </c>
      <c r="C73" s="94">
        <v>32250</v>
      </c>
      <c r="D73" s="94">
        <v>31783</v>
      </c>
      <c r="E73" s="94">
        <v>31783</v>
      </c>
      <c r="F73" s="94">
        <v>21250</v>
      </c>
      <c r="G73" s="94">
        <v>21250</v>
      </c>
      <c r="H73" s="94">
        <v>42500</v>
      </c>
      <c r="I73" s="94">
        <v>42500</v>
      </c>
      <c r="J73" s="170"/>
      <c r="K73" s="171"/>
    </row>
    <row r="74" spans="1:17" ht="188.1" customHeight="1">
      <c r="A74" s="103" t="s">
        <v>440</v>
      </c>
      <c r="B74" s="110" t="s">
        <v>441</v>
      </c>
      <c r="C74" s="94">
        <v>349</v>
      </c>
      <c r="D74" s="94"/>
      <c r="E74" s="94"/>
      <c r="F74" s="94"/>
      <c r="G74" s="94"/>
      <c r="H74" s="94"/>
      <c r="I74" s="94"/>
      <c r="J74" s="170"/>
      <c r="K74" s="171"/>
    </row>
    <row r="75" spans="1:17" ht="26.25" customHeight="1">
      <c r="A75" s="103" t="s">
        <v>400</v>
      </c>
      <c r="B75" s="110">
        <v>3480</v>
      </c>
      <c r="C75" s="94">
        <f t="shared" ref="C75:I75" si="12">C76</f>
        <v>5967</v>
      </c>
      <c r="D75" s="94">
        <f t="shared" si="12"/>
        <v>20902</v>
      </c>
      <c r="E75" s="94">
        <f t="shared" si="12"/>
        <v>24495</v>
      </c>
      <c r="F75" s="94">
        <f t="shared" si="12"/>
        <v>0</v>
      </c>
      <c r="G75" s="94">
        <f t="shared" si="12"/>
        <v>0</v>
      </c>
      <c r="H75" s="94">
        <f t="shared" si="12"/>
        <v>0</v>
      </c>
      <c r="I75" s="94">
        <f t="shared" si="12"/>
        <v>0</v>
      </c>
    </row>
    <row r="76" spans="1:17" s="1" customFormat="1" ht="56.45" customHeight="1">
      <c r="A76" s="93" t="s">
        <v>442</v>
      </c>
      <c r="B76" s="160" t="s">
        <v>443</v>
      </c>
      <c r="C76" s="96">
        <v>5967</v>
      </c>
      <c r="D76" s="96">
        <v>20902</v>
      </c>
      <c r="E76" s="96">
        <v>24495</v>
      </c>
      <c r="F76" s="96"/>
      <c r="G76" s="96"/>
      <c r="H76" s="96"/>
      <c r="I76" s="96"/>
      <c r="J76" s="172"/>
      <c r="K76" s="173"/>
      <c r="L76" s="174"/>
      <c r="M76" s="174"/>
      <c r="N76" s="174"/>
      <c r="O76" s="174"/>
      <c r="P76" s="174"/>
      <c r="Q76" s="174"/>
    </row>
    <row r="77" spans="1:17" ht="18.75" customHeight="1">
      <c r="A77" s="147" t="s">
        <v>403</v>
      </c>
      <c r="B77" s="110"/>
      <c r="C77" s="94"/>
      <c r="D77" s="94"/>
      <c r="E77" s="94"/>
      <c r="F77" s="94"/>
      <c r="G77" s="94"/>
      <c r="H77" s="94"/>
      <c r="I77" s="94"/>
    </row>
    <row r="78" spans="1:17" s="1" customFormat="1" ht="63" customHeight="1">
      <c r="A78" s="161" t="s">
        <v>319</v>
      </c>
      <c r="B78" s="160">
        <v>3490</v>
      </c>
      <c r="C78" s="162">
        <v>5047</v>
      </c>
      <c r="D78" s="162">
        <v>180</v>
      </c>
      <c r="E78" s="162">
        <v>180</v>
      </c>
      <c r="F78" s="162">
        <f>'ІІ. Розр. з бюджетом'!F9</f>
        <v>0</v>
      </c>
      <c r="G78" s="162">
        <f>'ІІ. Розр. з бюджетом'!G9</f>
        <v>0</v>
      </c>
      <c r="H78" s="162">
        <f>'ІІ. Розр. з бюджетом'!H9</f>
        <v>0</v>
      </c>
      <c r="I78" s="162">
        <v>0</v>
      </c>
      <c r="J78" s="174"/>
      <c r="K78" s="174"/>
      <c r="L78" s="174"/>
      <c r="M78" s="174"/>
      <c r="N78" s="174"/>
      <c r="O78" s="174"/>
      <c r="P78" s="174"/>
      <c r="Q78" s="174"/>
    </row>
    <row r="79" spans="1:17" s="1" customFormat="1" ht="117" customHeight="1">
      <c r="A79" s="161" t="s">
        <v>320</v>
      </c>
      <c r="B79" s="160">
        <v>3500</v>
      </c>
      <c r="C79" s="162"/>
      <c r="D79" s="162">
        <f>ROUND('ІІ. Розр. з бюджетом'!D10,0)</f>
        <v>0</v>
      </c>
      <c r="E79" s="162">
        <f>ROUND('ІІ. Розр. з бюджетом'!E10,0)</f>
        <v>0</v>
      </c>
      <c r="F79" s="162">
        <f>'ІІ. Розр. з бюджетом'!F10</f>
        <v>0</v>
      </c>
      <c r="G79" s="162">
        <f>'ІІ. Розр. з бюджетом'!G10</f>
        <v>0</v>
      </c>
      <c r="H79" s="162">
        <f>'ІІ. Розр. з бюджетом'!H10</f>
        <v>0</v>
      </c>
      <c r="I79" s="162">
        <f>'ІІ. Розр. з бюджетом'!I10</f>
        <v>0</v>
      </c>
      <c r="J79" s="174"/>
      <c r="K79" s="174"/>
      <c r="L79" s="174"/>
      <c r="M79" s="174"/>
      <c r="N79" s="174"/>
      <c r="O79" s="174"/>
      <c r="P79" s="174"/>
      <c r="Q79" s="174"/>
    </row>
    <row r="80" spans="1:17" ht="56.25" customHeight="1">
      <c r="A80" s="103" t="s">
        <v>444</v>
      </c>
      <c r="B80" s="110"/>
      <c r="C80" s="94"/>
      <c r="D80" s="94"/>
      <c r="E80" s="94"/>
      <c r="F80" s="94"/>
      <c r="G80" s="94"/>
      <c r="H80" s="94"/>
      <c r="I80" s="94"/>
    </row>
    <row r="81" spans="1:11" ht="18.75" customHeight="1">
      <c r="A81" s="103" t="s">
        <v>427</v>
      </c>
      <c r="B81" s="110">
        <v>3510</v>
      </c>
      <c r="C81" s="94">
        <v>34740</v>
      </c>
      <c r="D81" s="94">
        <v>31783</v>
      </c>
      <c r="E81" s="94">
        <v>31783</v>
      </c>
      <c r="F81" s="94">
        <v>21250</v>
      </c>
      <c r="G81" s="94">
        <v>21250</v>
      </c>
      <c r="H81" s="94">
        <v>42500</v>
      </c>
      <c r="I81" s="94">
        <v>42500</v>
      </c>
      <c r="K81" s="159"/>
    </row>
    <row r="82" spans="1:11" ht="18.75" customHeight="1">
      <c r="A82" s="103" t="s">
        <v>428</v>
      </c>
      <c r="B82" s="110">
        <v>3520</v>
      </c>
      <c r="C82" s="94"/>
      <c r="D82" s="94"/>
      <c r="E82" s="94"/>
      <c r="F82" s="94"/>
      <c r="G82" s="94"/>
      <c r="H82" s="94"/>
      <c r="I82" s="94"/>
    </row>
    <row r="83" spans="1:11" ht="18.75" customHeight="1">
      <c r="A83" s="103" t="s">
        <v>429</v>
      </c>
      <c r="B83" s="110">
        <v>3530</v>
      </c>
      <c r="C83" s="94"/>
      <c r="D83" s="94"/>
      <c r="E83" s="94"/>
      <c r="F83" s="94"/>
      <c r="G83" s="94"/>
      <c r="H83" s="94"/>
      <c r="I83" s="94"/>
    </row>
    <row r="84" spans="1:11" ht="56.25" customHeight="1">
      <c r="A84" s="103" t="s">
        <v>445</v>
      </c>
      <c r="B84" s="110"/>
      <c r="C84" s="94"/>
      <c r="D84" s="94"/>
      <c r="E84" s="94"/>
      <c r="F84" s="94"/>
      <c r="G84" s="94"/>
      <c r="H84" s="94"/>
      <c r="I84" s="94"/>
    </row>
    <row r="85" spans="1:11" ht="18.75" customHeight="1">
      <c r="A85" s="103" t="s">
        <v>427</v>
      </c>
      <c r="B85" s="110">
        <v>3540</v>
      </c>
      <c r="C85" s="94"/>
      <c r="D85" s="94">
        <v>52806</v>
      </c>
      <c r="E85" s="94">
        <v>52806</v>
      </c>
      <c r="F85" s="94"/>
      <c r="G85" s="94"/>
      <c r="H85" s="94"/>
      <c r="I85" s="150"/>
    </row>
    <row r="86" spans="1:11" ht="24.75" customHeight="1">
      <c r="A86" s="103" t="s">
        <v>428</v>
      </c>
      <c r="B86" s="110">
        <v>3550</v>
      </c>
      <c r="C86" s="94"/>
      <c r="D86" s="94"/>
      <c r="E86" s="94"/>
      <c r="F86" s="94"/>
      <c r="G86" s="94"/>
      <c r="H86" s="94"/>
      <c r="I86" s="94"/>
    </row>
    <row r="87" spans="1:11" ht="18.75" customHeight="1">
      <c r="A87" s="103" t="s">
        <v>429</v>
      </c>
      <c r="B87" s="110">
        <v>3560</v>
      </c>
      <c r="C87" s="94"/>
      <c r="D87" s="94"/>
      <c r="E87" s="94"/>
      <c r="F87" s="94"/>
      <c r="G87" s="94"/>
      <c r="H87" s="94"/>
      <c r="I87" s="94"/>
    </row>
    <row r="88" spans="1:11" ht="18.75">
      <c r="A88" s="103" t="s">
        <v>417</v>
      </c>
      <c r="B88" s="110">
        <v>3570</v>
      </c>
      <c r="C88" s="94">
        <f>SUM(C89:C99)</f>
        <v>0</v>
      </c>
      <c r="D88" s="94">
        <f>SUM(D89:D100)</f>
        <v>0</v>
      </c>
      <c r="E88" s="94">
        <f>E100</f>
        <v>5989</v>
      </c>
      <c r="F88" s="94">
        <f>SUM(F89:F100)</f>
        <v>0</v>
      </c>
      <c r="G88" s="94">
        <f>SUM(G89:G100)</f>
        <v>0</v>
      </c>
      <c r="H88" s="94">
        <f>SUM(H89:H100)</f>
        <v>0</v>
      </c>
      <c r="I88" s="94">
        <f>SUM(I89:I100)</f>
        <v>0</v>
      </c>
      <c r="J88" s="175"/>
    </row>
    <row r="89" spans="1:11" ht="52.5" hidden="1" customHeight="1">
      <c r="A89" s="93" t="s">
        <v>446</v>
      </c>
      <c r="B89" s="110" t="s">
        <v>447</v>
      </c>
      <c r="C89" s="94"/>
      <c r="D89" s="94"/>
      <c r="E89" s="94"/>
      <c r="F89" s="94"/>
      <c r="G89" s="94"/>
      <c r="H89" s="94"/>
      <c r="I89" s="94"/>
    </row>
    <row r="90" spans="1:11" ht="56.1" hidden="1" customHeight="1">
      <c r="A90" s="93" t="s">
        <v>448</v>
      </c>
      <c r="B90" s="110" t="s">
        <v>449</v>
      </c>
      <c r="C90" s="94"/>
      <c r="D90" s="94"/>
      <c r="E90" s="94"/>
      <c r="F90" s="94"/>
      <c r="G90" s="94"/>
      <c r="H90" s="94"/>
      <c r="I90" s="94"/>
    </row>
    <row r="91" spans="1:11" ht="70.5" hidden="1" customHeight="1">
      <c r="A91" s="93" t="s">
        <v>450</v>
      </c>
      <c r="B91" s="110" t="s">
        <v>451</v>
      </c>
      <c r="C91" s="94"/>
      <c r="D91" s="94"/>
      <c r="E91" s="94"/>
      <c r="F91" s="94"/>
      <c r="G91" s="94"/>
      <c r="H91" s="94"/>
      <c r="I91" s="94"/>
    </row>
    <row r="92" spans="1:11" ht="18.600000000000001" hidden="1" customHeight="1">
      <c r="A92" s="93" t="s">
        <v>452</v>
      </c>
      <c r="B92" s="110" t="s">
        <v>453</v>
      </c>
      <c r="C92" s="94"/>
      <c r="D92" s="94"/>
      <c r="E92" s="94"/>
      <c r="F92" s="94"/>
      <c r="G92" s="94"/>
      <c r="H92" s="94"/>
      <c r="I92" s="94"/>
    </row>
    <row r="93" spans="1:11" ht="17.45" hidden="1" customHeight="1">
      <c r="A93" s="93" t="s">
        <v>166</v>
      </c>
      <c r="B93" s="110" t="s">
        <v>454</v>
      </c>
      <c r="C93" s="94"/>
      <c r="D93" s="94"/>
      <c r="E93" s="94"/>
      <c r="F93" s="94"/>
      <c r="G93" s="94"/>
      <c r="H93" s="94"/>
      <c r="I93" s="94"/>
    </row>
    <row r="94" spans="1:11" ht="20.45" hidden="1" customHeight="1">
      <c r="A94" s="93" t="s">
        <v>163</v>
      </c>
      <c r="B94" s="110" t="s">
        <v>455</v>
      </c>
      <c r="C94" s="94"/>
      <c r="D94" s="94"/>
      <c r="E94" s="94"/>
      <c r="F94" s="94"/>
      <c r="G94" s="94"/>
      <c r="H94" s="94"/>
      <c r="I94" s="94"/>
    </row>
    <row r="95" spans="1:11" ht="20.45" hidden="1" customHeight="1">
      <c r="A95" s="93" t="s">
        <v>164</v>
      </c>
      <c r="B95" s="110" t="s">
        <v>456</v>
      </c>
      <c r="C95" s="94"/>
      <c r="D95" s="94"/>
      <c r="E95" s="94"/>
      <c r="F95" s="94"/>
      <c r="G95" s="94"/>
      <c r="H95" s="94"/>
      <c r="I95" s="94"/>
    </row>
    <row r="96" spans="1:11" ht="35.1" hidden="1" customHeight="1">
      <c r="A96" s="93" t="s">
        <v>174</v>
      </c>
      <c r="B96" s="110" t="s">
        <v>457</v>
      </c>
      <c r="C96" s="94"/>
      <c r="D96" s="94"/>
      <c r="E96" s="94"/>
      <c r="F96" s="94"/>
      <c r="G96" s="94"/>
      <c r="H96" s="94"/>
      <c r="I96" s="94"/>
    </row>
    <row r="97" spans="1:10" ht="24.95" hidden="1" customHeight="1">
      <c r="A97" s="93" t="s">
        <v>169</v>
      </c>
      <c r="B97" s="110" t="s">
        <v>458</v>
      </c>
      <c r="C97" s="94"/>
      <c r="D97" s="94"/>
      <c r="E97" s="94"/>
      <c r="F97" s="94"/>
      <c r="G97" s="94"/>
      <c r="H97" s="94"/>
      <c r="I97" s="94"/>
    </row>
    <row r="98" spans="1:10" ht="21.6" hidden="1" customHeight="1">
      <c r="A98" s="93" t="s">
        <v>182</v>
      </c>
      <c r="B98" s="110" t="s">
        <v>459</v>
      </c>
      <c r="C98" s="94"/>
      <c r="D98" s="94"/>
      <c r="E98" s="94"/>
      <c r="F98" s="94"/>
      <c r="G98" s="94"/>
      <c r="H98" s="94"/>
      <c r="I98" s="94"/>
    </row>
    <row r="99" spans="1:10" ht="44.1" hidden="1" customHeight="1">
      <c r="A99" s="163" t="s">
        <v>460</v>
      </c>
      <c r="B99" s="110" t="s">
        <v>461</v>
      </c>
      <c r="C99" s="61"/>
      <c r="D99" s="61"/>
      <c r="E99" s="61"/>
      <c r="F99" s="61"/>
      <c r="G99" s="61"/>
      <c r="H99" s="61"/>
      <c r="I99" s="61"/>
    </row>
    <row r="100" spans="1:10" ht="23.1" customHeight="1">
      <c r="A100" s="163" t="s">
        <v>462</v>
      </c>
      <c r="B100" s="110" t="s">
        <v>447</v>
      </c>
      <c r="C100" s="164"/>
      <c r="D100" s="61"/>
      <c r="E100" s="61">
        <v>5989</v>
      </c>
      <c r="F100" s="61"/>
      <c r="G100" s="61"/>
      <c r="H100" s="61"/>
      <c r="I100" s="61"/>
    </row>
    <row r="101" spans="1:10" ht="37.5" customHeight="1">
      <c r="A101" s="116" t="s">
        <v>463</v>
      </c>
      <c r="B101" s="165">
        <v>3580</v>
      </c>
      <c r="C101" s="149">
        <f t="shared" ref="C101:I101" si="13">(C60+C62+C63+C64+C66+C67+C68+C69+C75)-(C78+C79+C81+C82+C83+C85+C86+C87+C88)</f>
        <v>47464</v>
      </c>
      <c r="D101" s="149">
        <f t="shared" si="13"/>
        <v>141345</v>
      </c>
      <c r="E101" s="149">
        <f t="shared" si="13"/>
        <v>138949</v>
      </c>
      <c r="F101" s="149">
        <f t="shared" si="13"/>
        <v>101225</v>
      </c>
      <c r="G101" s="149">
        <f t="shared" si="13"/>
        <v>103525</v>
      </c>
      <c r="H101" s="149">
        <f t="shared" si="13"/>
        <v>445840</v>
      </c>
      <c r="I101" s="149">
        <f t="shared" si="13"/>
        <v>447741</v>
      </c>
      <c r="J101" s="158"/>
    </row>
    <row r="102" spans="1:10" ht="24.75" customHeight="1">
      <c r="A102" s="58" t="s">
        <v>464</v>
      </c>
      <c r="B102" s="61"/>
      <c r="C102" s="146"/>
      <c r="D102" s="146"/>
      <c r="E102" s="146"/>
      <c r="F102" s="146"/>
      <c r="G102" s="146"/>
      <c r="H102" s="146"/>
      <c r="I102" s="146"/>
    </row>
    <row r="103" spans="1:10" ht="18.75" customHeight="1">
      <c r="A103" s="166" t="s">
        <v>465</v>
      </c>
      <c r="B103" s="61">
        <v>3600</v>
      </c>
      <c r="C103" s="144">
        <v>57313</v>
      </c>
      <c r="D103" s="144">
        <v>27996</v>
      </c>
      <c r="E103" s="167">
        <v>27996</v>
      </c>
      <c r="F103" s="144">
        <f>E105</f>
        <v>49341</v>
      </c>
      <c r="G103" s="144">
        <f>F103</f>
        <v>49341</v>
      </c>
      <c r="H103" s="144">
        <f>F103</f>
        <v>49341</v>
      </c>
      <c r="I103" s="144">
        <f>F103</f>
        <v>49341</v>
      </c>
    </row>
    <row r="104" spans="1:10" ht="36" customHeight="1">
      <c r="A104" s="103" t="s">
        <v>102</v>
      </c>
      <c r="B104" s="61">
        <v>3610</v>
      </c>
      <c r="C104" s="94">
        <v>-4377</v>
      </c>
      <c r="D104" s="94"/>
      <c r="E104" s="94"/>
      <c r="F104" s="94"/>
      <c r="G104" s="94"/>
      <c r="H104" s="94"/>
      <c r="I104" s="94"/>
    </row>
    <row r="105" spans="1:10" ht="18.75" customHeight="1">
      <c r="A105" s="166" t="s">
        <v>466</v>
      </c>
      <c r="B105" s="61">
        <v>3620</v>
      </c>
      <c r="C105" s="149">
        <f>C103+C31+C57+C101+C104</f>
        <v>21022</v>
      </c>
      <c r="D105" s="149">
        <f t="shared" ref="D105:I105" si="14">D103+D31+D57+D101</f>
        <v>51737</v>
      </c>
      <c r="E105" s="149">
        <f t="shared" si="14"/>
        <v>49341</v>
      </c>
      <c r="F105" s="149">
        <f t="shared" si="14"/>
        <v>56271</v>
      </c>
      <c r="G105" s="149">
        <f t="shared" si="14"/>
        <v>47864.7</v>
      </c>
      <c r="H105" s="149">
        <f t="shared" si="14"/>
        <v>47839</v>
      </c>
      <c r="I105" s="149">
        <f t="shared" si="14"/>
        <v>43415</v>
      </c>
    </row>
    <row r="106" spans="1:10" ht="18.75" customHeight="1">
      <c r="A106" s="166" t="s">
        <v>467</v>
      </c>
      <c r="B106" s="61">
        <v>3630</v>
      </c>
      <c r="C106" s="149">
        <f>SUM(C31,C57,C101)</f>
        <v>-31914</v>
      </c>
      <c r="D106" s="149">
        <f>SUM(D31,D57,D101)</f>
        <v>23741</v>
      </c>
      <c r="E106" s="149">
        <f>SUM(E31,E57,E101)</f>
        <v>21345</v>
      </c>
      <c r="F106" s="149">
        <f>SUM(F31,F57,F101)</f>
        <v>6930</v>
      </c>
      <c r="G106" s="149">
        <f>SUM(G31,G57,G101)</f>
        <v>-1476.3000000000029</v>
      </c>
      <c r="H106" s="149">
        <f>SUM(H31,H57,H101,H104)</f>
        <v>-1502</v>
      </c>
      <c r="I106" s="149">
        <f>SUM(I31,I57,I101,I104)</f>
        <v>-5926</v>
      </c>
    </row>
    <row r="110" spans="1:10" ht="20.25" customHeight="1">
      <c r="A110" s="133" t="s">
        <v>122</v>
      </c>
      <c r="B110" s="67"/>
      <c r="C110" s="337" t="s">
        <v>123</v>
      </c>
      <c r="D110" s="337"/>
      <c r="E110" s="337"/>
      <c r="F110" s="337"/>
      <c r="G110" s="337"/>
      <c r="H110" s="338" t="s">
        <v>124</v>
      </c>
      <c r="I110" s="338"/>
      <c r="J110" s="338"/>
    </row>
    <row r="111" spans="1:10" ht="18.75" customHeight="1">
      <c r="A111" s="67" t="s">
        <v>125</v>
      </c>
      <c r="C111" s="67"/>
      <c r="D111" s="67" t="s">
        <v>126</v>
      </c>
      <c r="E111" s="67"/>
      <c r="F111" s="67"/>
      <c r="G111" s="347" t="s">
        <v>127</v>
      </c>
      <c r="H111" s="347"/>
      <c r="I111" s="347"/>
    </row>
    <row r="1048576" ht="12.75" customHeight="1"/>
  </sheetData>
  <mergeCells count="14">
    <mergeCell ref="A1:I2"/>
    <mergeCell ref="C110:G110"/>
    <mergeCell ref="H110:J110"/>
    <mergeCell ref="G111:I111"/>
    <mergeCell ref="A3:A4"/>
    <mergeCell ref="B3:B4"/>
    <mergeCell ref="C3:C4"/>
    <mergeCell ref="D3:D4"/>
    <mergeCell ref="E3:E4"/>
    <mergeCell ref="F3:I3"/>
    <mergeCell ref="A6:I6"/>
    <mergeCell ref="J19:O19"/>
    <mergeCell ref="A32:I32"/>
    <mergeCell ref="A58:I58"/>
  </mergeCells>
  <pageMargins left="1.1812499999999999" right="0.39374999999999999" top="0.59027777777777801" bottom="0.59027777777777801" header="0.51180555555555496" footer="0.51180555555555496"/>
  <pageSetup paperSize="9" firstPageNumber="0" fitToHeight="3" orientation="portrait" useFirstPageNumber="1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W16"/>
  <sheetViews>
    <sheetView zoomScale="75" zoomScaleNormal="75" workbookViewId="0">
      <selection activeCell="G19" sqref="G19"/>
    </sheetView>
  </sheetViews>
  <sheetFormatPr defaultColWidth="9" defaultRowHeight="18.75"/>
  <cols>
    <col min="1" max="1" width="45" style="79" customWidth="1"/>
    <col min="2" max="2" width="11.85546875" style="40" customWidth="1"/>
    <col min="3" max="4" width="16" style="40" customWidth="1"/>
    <col min="5" max="5" width="15.140625" style="40" customWidth="1"/>
    <col min="6" max="7" width="16.140625" style="79" customWidth="1"/>
    <col min="8" max="8" width="15.85546875" style="79" customWidth="1"/>
    <col min="9" max="9" width="15.140625" style="79" customWidth="1"/>
    <col min="10" max="10" width="9.5703125" style="79" customWidth="1"/>
    <col min="11" max="11" width="9.85546875" style="79" customWidth="1"/>
    <col min="12" max="257" width="9.140625" style="79" customWidth="1"/>
    <col min="258" max="1025" width="9.140625" customWidth="1"/>
  </cols>
  <sheetData>
    <row r="1" spans="1:16" ht="18.75" customHeight="1">
      <c r="A1" s="331" t="s">
        <v>468</v>
      </c>
      <c r="B1" s="331"/>
      <c r="C1" s="331"/>
      <c r="D1" s="331"/>
      <c r="E1" s="331"/>
      <c r="F1" s="331"/>
      <c r="G1" s="331"/>
      <c r="H1" s="331"/>
      <c r="I1" s="331"/>
    </row>
    <row r="2" spans="1:16" s="79" customFormat="1" ht="18.75" customHeight="1">
      <c r="A2" s="358"/>
      <c r="B2" s="358"/>
      <c r="C2" s="358"/>
      <c r="D2" s="358"/>
      <c r="E2" s="358"/>
      <c r="F2" s="358"/>
      <c r="G2" s="358"/>
      <c r="H2" s="358"/>
      <c r="I2" s="358"/>
    </row>
    <row r="3" spans="1:16" ht="43.5" customHeight="1">
      <c r="A3" s="354" t="s">
        <v>61</v>
      </c>
      <c r="B3" s="352" t="s">
        <v>62</v>
      </c>
      <c r="C3" s="352" t="s">
        <v>63</v>
      </c>
      <c r="D3" s="352" t="s">
        <v>64</v>
      </c>
      <c r="E3" s="356" t="s">
        <v>66</v>
      </c>
      <c r="F3" s="352" t="s">
        <v>129</v>
      </c>
      <c r="G3" s="352"/>
      <c r="H3" s="352"/>
      <c r="I3" s="352"/>
    </row>
    <row r="4" spans="1:16" ht="56.25" customHeight="1">
      <c r="A4" s="354"/>
      <c r="B4" s="352"/>
      <c r="C4" s="352"/>
      <c r="D4" s="352"/>
      <c r="E4" s="356"/>
      <c r="F4" s="43" t="s">
        <v>352</v>
      </c>
      <c r="G4" s="43" t="s">
        <v>7</v>
      </c>
      <c r="H4" s="43" t="s">
        <v>8</v>
      </c>
      <c r="I4" s="43" t="s">
        <v>9</v>
      </c>
    </row>
    <row r="5" spans="1:16" ht="18" customHeight="1">
      <c r="A5" s="61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</row>
    <row r="6" spans="1:16" s="88" customFormat="1" ht="42.75" customHeight="1">
      <c r="A6" s="58" t="s">
        <v>469</v>
      </c>
      <c r="B6" s="44">
        <v>4000</v>
      </c>
      <c r="C6" s="137">
        <f t="shared" ref="C6:I6" si="0">SUM(C7:C11)</f>
        <v>391</v>
      </c>
      <c r="D6" s="137">
        <f t="shared" si="0"/>
        <v>0</v>
      </c>
      <c r="E6" s="137">
        <f t="shared" si="0"/>
        <v>0</v>
      </c>
      <c r="F6" s="137">
        <f t="shared" si="0"/>
        <v>0</v>
      </c>
      <c r="G6" s="137">
        <f t="shared" si="0"/>
        <v>0</v>
      </c>
      <c r="H6" s="137">
        <f t="shared" si="0"/>
        <v>0</v>
      </c>
      <c r="I6" s="137">
        <f t="shared" si="0"/>
        <v>0</v>
      </c>
      <c r="J6" s="141"/>
    </row>
    <row r="7" spans="1:16" ht="20.100000000000001" customHeight="1">
      <c r="A7" s="58" t="s">
        <v>470</v>
      </c>
      <c r="B7" s="44" t="s">
        <v>471</v>
      </c>
      <c r="C7" s="94"/>
      <c r="D7" s="94"/>
      <c r="E7" s="94"/>
      <c r="F7" s="94"/>
      <c r="G7" s="94"/>
      <c r="H7" s="94"/>
      <c r="I7" s="94"/>
    </row>
    <row r="8" spans="1:16" ht="37.5" customHeight="1">
      <c r="A8" s="58" t="s">
        <v>472</v>
      </c>
      <c r="B8" s="44">
        <v>4020</v>
      </c>
      <c r="C8" s="94">
        <v>391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P8" s="100"/>
    </row>
    <row r="9" spans="1:16" ht="56.25" customHeight="1">
      <c r="A9" s="58" t="s">
        <v>473</v>
      </c>
      <c r="B9" s="44">
        <v>4030</v>
      </c>
      <c r="C9" s="94">
        <v>0</v>
      </c>
      <c r="D9" s="94">
        <v>0</v>
      </c>
      <c r="E9" s="94">
        <v>0</v>
      </c>
      <c r="F9" s="94">
        <f>'РУХ новый'!F54</f>
        <v>0</v>
      </c>
      <c r="G9" s="94">
        <v>0</v>
      </c>
      <c r="H9" s="94">
        <f>'РУХ новый'!H54</f>
        <v>0</v>
      </c>
      <c r="I9" s="94">
        <f>'РУХ новый'!I54</f>
        <v>0</v>
      </c>
      <c r="O9" s="100"/>
    </row>
    <row r="10" spans="1:16" ht="37.5" customHeight="1">
      <c r="A10" s="58" t="s">
        <v>474</v>
      </c>
      <c r="B10" s="44">
        <v>4040</v>
      </c>
      <c r="C10" s="94"/>
      <c r="D10" s="94">
        <v>0</v>
      </c>
      <c r="E10" s="94">
        <v>0</v>
      </c>
      <c r="F10" s="94">
        <f>'6.2. Інша інфо_2'!K41</f>
        <v>0</v>
      </c>
      <c r="G10" s="94">
        <f>'6.2. Інша інфо_2'!L41</f>
        <v>0</v>
      </c>
      <c r="H10" s="94">
        <f>'6.2. Інша інфо_2'!M41</f>
        <v>0</v>
      </c>
      <c r="I10" s="94">
        <f>'6.2. Інша інфо_2'!N41</f>
        <v>0</v>
      </c>
    </row>
    <row r="11" spans="1:16" ht="75" customHeight="1">
      <c r="A11" s="58" t="s">
        <v>475</v>
      </c>
      <c r="B11" s="44">
        <v>4050</v>
      </c>
      <c r="C11" s="94">
        <v>0</v>
      </c>
      <c r="D11" s="94">
        <v>0</v>
      </c>
      <c r="E11" s="94">
        <v>0</v>
      </c>
      <c r="F11" s="94"/>
      <c r="G11" s="94"/>
      <c r="H11" s="94"/>
      <c r="I11" s="94"/>
    </row>
    <row r="12" spans="1:16" ht="20.100000000000001" customHeight="1">
      <c r="A12" s="138"/>
      <c r="B12" s="138"/>
      <c r="C12" s="138"/>
      <c r="D12" s="138"/>
      <c r="E12" s="138"/>
      <c r="F12" s="139"/>
      <c r="G12" s="139"/>
      <c r="H12" s="139"/>
      <c r="I12" s="139"/>
    </row>
    <row r="13" spans="1:16" ht="20.100000000000001" customHeight="1">
      <c r="A13" s="138"/>
      <c r="B13" s="138"/>
      <c r="C13" s="138"/>
      <c r="D13" s="138"/>
      <c r="E13" s="138"/>
      <c r="F13" s="139"/>
      <c r="G13" s="139"/>
      <c r="H13" s="139"/>
      <c r="I13" s="139"/>
    </row>
    <row r="14" spans="1:16" s="39" customFormat="1" ht="18.75" customHeight="1">
      <c r="A14" s="140"/>
      <c r="B14" s="135"/>
      <c r="C14" s="138"/>
      <c r="D14" s="138"/>
      <c r="E14" s="138"/>
      <c r="F14" s="138"/>
      <c r="G14" s="138"/>
      <c r="H14" s="138"/>
      <c r="I14" s="138"/>
      <c r="J14" s="79"/>
    </row>
    <row r="15" spans="1:16" ht="20.25" customHeight="1">
      <c r="A15" s="133" t="s">
        <v>122</v>
      </c>
      <c r="B15" s="67"/>
      <c r="C15" s="359" t="s">
        <v>123</v>
      </c>
      <c r="D15" s="359"/>
      <c r="E15" s="359"/>
      <c r="F15" s="359"/>
      <c r="G15" s="359"/>
      <c r="H15" s="360" t="s">
        <v>124</v>
      </c>
      <c r="I15" s="360"/>
      <c r="J15" s="360"/>
    </row>
    <row r="16" spans="1:16" s="39" customFormat="1" ht="20.100000000000001" customHeight="1">
      <c r="A16" s="67" t="s">
        <v>125</v>
      </c>
      <c r="B16" s="347" t="s">
        <v>126</v>
      </c>
      <c r="C16" s="347"/>
      <c r="D16" s="347"/>
      <c r="E16" s="347"/>
      <c r="F16" s="347"/>
      <c r="G16" s="347" t="s">
        <v>127</v>
      </c>
      <c r="H16" s="347"/>
      <c r="I16" s="347"/>
    </row>
  </sheetData>
  <mergeCells count="12">
    <mergeCell ref="B16:F16"/>
    <mergeCell ref="G16:I16"/>
    <mergeCell ref="A3:A4"/>
    <mergeCell ref="B3:B4"/>
    <mergeCell ref="C3:C4"/>
    <mergeCell ref="D3:D4"/>
    <mergeCell ref="E3:E4"/>
    <mergeCell ref="A1:I1"/>
    <mergeCell ref="A2:I2"/>
    <mergeCell ref="F3:I3"/>
    <mergeCell ref="C15:G15"/>
    <mergeCell ref="H15:J15"/>
  </mergeCells>
  <pageMargins left="1.1812499999999999" right="0.39374999999999999" top="0.59027777777777801" bottom="0.59027777777777801" header="0.51180555555555496" footer="0.51180555555555496"/>
  <pageSetup paperSize="9" scale="50" firstPageNumber="9" orientation="portrait" useFirstPageNumber="1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W26"/>
  <sheetViews>
    <sheetView zoomScale="60" zoomScaleNormal="60" workbookViewId="0">
      <pane ySplit="5" topLeftCell="A15" activePane="bottomLeft" state="frozen"/>
      <selection pane="bottomLeft" activeCell="G7" sqref="G7"/>
    </sheetView>
  </sheetViews>
  <sheetFormatPr defaultColWidth="9" defaultRowHeight="12.75"/>
  <cols>
    <col min="1" max="1" width="60.85546875" style="112" customWidth="1"/>
    <col min="2" max="2" width="11.140625" style="112" customWidth="1"/>
    <col min="3" max="3" width="17.140625" style="112" customWidth="1"/>
    <col min="4" max="4" width="18.140625" style="112" customWidth="1"/>
    <col min="5" max="5" width="19.85546875" style="112" customWidth="1"/>
    <col min="6" max="6" width="18.5703125" style="112" customWidth="1"/>
    <col min="7" max="7" width="18.85546875" style="112" customWidth="1"/>
    <col min="8" max="8" width="35.85546875" style="112" customWidth="1"/>
    <col min="9" max="9" width="9.5703125" style="112" customWidth="1"/>
    <col min="10" max="257" width="9.140625" style="112" customWidth="1"/>
    <col min="258" max="1025" width="9.140625" customWidth="1"/>
  </cols>
  <sheetData>
    <row r="1" spans="1:8" ht="25.5" customHeight="1">
      <c r="A1" s="361" t="s">
        <v>106</v>
      </c>
      <c r="B1" s="361"/>
      <c r="C1" s="361"/>
      <c r="D1" s="361"/>
      <c r="E1" s="361"/>
      <c r="F1" s="361"/>
      <c r="G1" s="361"/>
      <c r="H1" s="361"/>
    </row>
    <row r="2" spans="1:8" ht="16.5" customHeight="1"/>
    <row r="3" spans="1:8" ht="45" customHeight="1">
      <c r="A3" s="355" t="s">
        <v>61</v>
      </c>
      <c r="B3" s="355" t="s">
        <v>350</v>
      </c>
      <c r="C3" s="355" t="s">
        <v>476</v>
      </c>
      <c r="D3" s="355" t="s">
        <v>63</v>
      </c>
      <c r="E3" s="355" t="s">
        <v>477</v>
      </c>
      <c r="F3" s="356" t="s">
        <v>66</v>
      </c>
      <c r="G3" s="355" t="s">
        <v>478</v>
      </c>
      <c r="H3" s="355" t="s">
        <v>479</v>
      </c>
    </row>
    <row r="4" spans="1:8" ht="75.95" customHeight="1">
      <c r="A4" s="355"/>
      <c r="B4" s="355"/>
      <c r="C4" s="355"/>
      <c r="D4" s="355"/>
      <c r="E4" s="355"/>
      <c r="F4" s="356"/>
      <c r="G4" s="355"/>
      <c r="H4" s="355"/>
    </row>
    <row r="5" spans="1:8" s="111" customFormat="1" ht="18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</row>
    <row r="6" spans="1:8" s="111" customFormat="1" ht="20.100000000000001" customHeight="1">
      <c r="A6" s="116" t="s">
        <v>480</v>
      </c>
      <c r="B6" s="117"/>
      <c r="C6" s="115"/>
      <c r="D6" s="115"/>
      <c r="E6" s="115"/>
      <c r="F6" s="115"/>
      <c r="G6" s="115"/>
      <c r="H6" s="115"/>
    </row>
    <row r="7" spans="1:8" ht="75" customHeight="1">
      <c r="A7" s="58" t="s">
        <v>481</v>
      </c>
      <c r="B7" s="44">
        <v>5000</v>
      </c>
      <c r="C7" s="114" t="s">
        <v>482</v>
      </c>
      <c r="D7" s="118">
        <v>0</v>
      </c>
      <c r="E7" s="119">
        <v>0</v>
      </c>
      <c r="F7" s="118">
        <f>'Осн. фін. пок.'!F41/'Осн. фін. пок.'!F39</f>
        <v>-0.45333333333333331</v>
      </c>
      <c r="G7" s="118">
        <f>'Осн. фін. пок.'!E41/'Осн. фін. пок.'!E39</f>
        <v>-0.42666666666666669</v>
      </c>
      <c r="H7" s="120"/>
    </row>
    <row r="8" spans="1:8" ht="63.95" customHeight="1">
      <c r="A8" s="58" t="s">
        <v>483</v>
      </c>
      <c r="B8" s="44">
        <v>5010</v>
      </c>
      <c r="C8" s="114" t="s">
        <v>482</v>
      </c>
      <c r="D8" s="118">
        <v>0</v>
      </c>
      <c r="E8" s="119">
        <v>0</v>
      </c>
      <c r="F8" s="118">
        <f>'Осн. фін. пок.'!F46/'Осн. фін. пок.'!F39</f>
        <v>-589.02666666666664</v>
      </c>
      <c r="G8" s="118">
        <f>'Осн. фін. пок.'!E46/'Осн. фін. пок.'!E39</f>
        <v>159.18666666666667</v>
      </c>
      <c r="H8" s="120"/>
    </row>
    <row r="9" spans="1:8" ht="75" customHeight="1">
      <c r="A9" s="121" t="s">
        <v>484</v>
      </c>
      <c r="B9" s="44">
        <v>5020</v>
      </c>
      <c r="C9" s="114" t="s">
        <v>482</v>
      </c>
      <c r="D9" s="122">
        <v>0.08</v>
      </c>
      <c r="E9" s="123">
        <v>-0.09</v>
      </c>
      <c r="F9" s="118">
        <f>'Осн. фін. пок.'!F52/'Осн. фін. пок.'!F78</f>
        <v>-4.6716635552956069E-2</v>
      </c>
      <c r="G9" s="118">
        <f>'Осн. фін. пок.'!E52/'Осн. фін. пок.'!E78</f>
        <v>-3.7185742153439345E-2</v>
      </c>
      <c r="H9" s="120" t="s">
        <v>485</v>
      </c>
    </row>
    <row r="10" spans="1:8" ht="75" customHeight="1">
      <c r="A10" s="121" t="s">
        <v>486</v>
      </c>
      <c r="B10" s="44">
        <v>5030</v>
      </c>
      <c r="C10" s="114" t="s">
        <v>482</v>
      </c>
      <c r="D10" s="118">
        <v>-6.1</v>
      </c>
      <c r="E10" s="119">
        <v>1.4</v>
      </c>
      <c r="F10" s="118">
        <f>'Осн. фін. пок.'!F52/'Осн. фін. пок.'!F84</f>
        <v>1.8742365798778529</v>
      </c>
      <c r="G10" s="118">
        <f>'Осн. фін. пок.'!E52/'Осн. фін. пок.'!E84</f>
        <v>0.59573776882593721</v>
      </c>
      <c r="H10" s="120"/>
    </row>
    <row r="11" spans="1:8" ht="75" customHeight="1">
      <c r="A11" s="121" t="s">
        <v>487</v>
      </c>
      <c r="B11" s="44">
        <v>5040</v>
      </c>
      <c r="C11" s="114" t="s">
        <v>488</v>
      </c>
      <c r="D11" s="118">
        <v>0</v>
      </c>
      <c r="E11" s="119">
        <v>0</v>
      </c>
      <c r="F11" s="118">
        <f>'Осн. фін. пок.'!F52/'Осн. фін. пок.'!F39</f>
        <v>-155.48666666666668</v>
      </c>
      <c r="G11" s="118">
        <f>'Осн. фін. пок.'!E52/'Осн. фін. пок.'!E39</f>
        <v>-122.25333333333333</v>
      </c>
      <c r="H11" s="120" t="s">
        <v>489</v>
      </c>
    </row>
    <row r="12" spans="1:8" ht="36" customHeight="1">
      <c r="A12" s="116" t="s">
        <v>490</v>
      </c>
      <c r="B12" s="44"/>
      <c r="C12" s="114"/>
      <c r="D12" s="124"/>
      <c r="E12" s="125"/>
      <c r="F12" s="124"/>
      <c r="G12" s="124"/>
      <c r="H12" s="120"/>
    </row>
    <row r="13" spans="1:8" ht="63.95" customHeight="1">
      <c r="A13" s="126" t="s">
        <v>491</v>
      </c>
      <c r="B13" s="44">
        <v>5100</v>
      </c>
      <c r="C13" s="114"/>
      <c r="D13" s="118">
        <v>-75</v>
      </c>
      <c r="E13" s="119">
        <v>-15.8</v>
      </c>
      <c r="F13" s="127">
        <f>('Осн. фін. пок.'!F79+'Осн. фін. пок.'!F80)/'Осн. фін. пок.'!F46</f>
        <v>-5.7913393847477197</v>
      </c>
      <c r="G13" s="127">
        <f>('Осн. фін. пок.'!E79+'Осн. фін. пок.'!E80)/'Осн. фін. пок.'!E46</f>
        <v>21.941871178490661</v>
      </c>
      <c r="H13" s="120"/>
    </row>
    <row r="14" spans="1:8" s="111" customFormat="1" ht="112.5" customHeight="1">
      <c r="A14" s="126" t="s">
        <v>492</v>
      </c>
      <c r="B14" s="44">
        <v>5110</v>
      </c>
      <c r="C14" s="114" t="s">
        <v>493</v>
      </c>
      <c r="D14" s="122">
        <v>-0.01</v>
      </c>
      <c r="E14" s="123">
        <v>-0.06</v>
      </c>
      <c r="F14" s="118">
        <f>('Осн. фін. пок.'!F84/('Осн. фін. пок.'!F79+'Осн. фін. пок.'!F80))</f>
        <v>-2.4319507199699816E-2</v>
      </c>
      <c r="G14" s="118">
        <f>('Осн. фін. пок.'!E84/('Осн. фін. пок.'!E79+'Осн. фін. пок.'!E80))</f>
        <v>-5.8752347650822254E-2</v>
      </c>
      <c r="H14" s="120" t="s">
        <v>494</v>
      </c>
    </row>
    <row r="15" spans="1:8" s="111" customFormat="1" ht="168.75" customHeight="1">
      <c r="A15" s="126" t="s">
        <v>495</v>
      </c>
      <c r="B15" s="44">
        <v>5120</v>
      </c>
      <c r="C15" s="114" t="s">
        <v>493</v>
      </c>
      <c r="D15" s="118">
        <v>5.9</v>
      </c>
      <c r="E15" s="119">
        <v>6.5</v>
      </c>
      <c r="F15" s="118">
        <f>'Осн. фін. пок.'!F76/'Осн. фін. пок.'!F80</f>
        <v>4.2759551275267222</v>
      </c>
      <c r="G15" s="118">
        <f>'Осн. фін. пок.'!E76/'Осн. фін. пок.'!E80</f>
        <v>4.8401969108846838</v>
      </c>
      <c r="H15" s="120" t="s">
        <v>496</v>
      </c>
    </row>
    <row r="16" spans="1:8" ht="20.100000000000001" customHeight="1">
      <c r="A16" s="116" t="s">
        <v>497</v>
      </c>
      <c r="B16" s="44"/>
      <c r="C16" s="114"/>
      <c r="D16" s="128"/>
      <c r="E16" s="129"/>
      <c r="F16" s="128"/>
      <c r="G16" s="128"/>
      <c r="H16" s="120"/>
    </row>
    <row r="17" spans="1:12" ht="56.25" customHeight="1">
      <c r="A17" s="126" t="s">
        <v>498</v>
      </c>
      <c r="B17" s="44">
        <v>5200</v>
      </c>
      <c r="C17" s="114"/>
      <c r="D17" s="118">
        <v>6.3</v>
      </c>
      <c r="E17" s="119">
        <v>152.4</v>
      </c>
      <c r="F17" s="118">
        <f>'Осн. фін. пок.'!F69/'I. Фін результат'!E149</f>
        <v>0</v>
      </c>
      <c r="G17" s="122" t="s">
        <v>49</v>
      </c>
      <c r="H17" s="120"/>
      <c r="I17" s="134"/>
      <c r="J17" s="134"/>
      <c r="K17" s="134"/>
      <c r="L17" s="134"/>
    </row>
    <row r="18" spans="1:12" ht="75" customHeight="1">
      <c r="A18" s="126" t="s">
        <v>499</v>
      </c>
      <c r="B18" s="44">
        <v>5210</v>
      </c>
      <c r="C18" s="114"/>
      <c r="D18" s="118">
        <v>0</v>
      </c>
      <c r="E18" s="119">
        <v>0</v>
      </c>
      <c r="F18" s="118">
        <f>'Осн. фін. пок.'!F69/'Осн. фін. пок.'!F39</f>
        <v>0</v>
      </c>
      <c r="G18" s="118">
        <f>'Осн. фін. пок.'!E69/'Осн. фін. пок.'!E39</f>
        <v>0</v>
      </c>
      <c r="H18" s="120"/>
    </row>
    <row r="19" spans="1:12" ht="101.1" customHeight="1">
      <c r="A19" s="126" t="s">
        <v>500</v>
      </c>
      <c r="B19" s="44">
        <v>5220</v>
      </c>
      <c r="C19" s="114" t="s">
        <v>482</v>
      </c>
      <c r="D19" s="130">
        <v>0.8</v>
      </c>
      <c r="E19" s="130">
        <v>0.8</v>
      </c>
      <c r="F19" s="130"/>
      <c r="G19" s="130">
        <f>(381+'I. Фін результат'!I149)/('Осн. фін. пок.'!F75+'Осн. фін. пок.'!E69*0.8)</f>
        <v>3.2495486737953064E-2</v>
      </c>
      <c r="H19" s="120" t="s">
        <v>501</v>
      </c>
    </row>
    <row r="20" spans="1:12" ht="20.100000000000001" customHeight="1">
      <c r="A20" s="117" t="s">
        <v>502</v>
      </c>
      <c r="B20" s="44"/>
      <c r="C20" s="114"/>
      <c r="D20" s="128"/>
      <c r="E20" s="129"/>
      <c r="F20" s="128"/>
      <c r="G20" s="128"/>
      <c r="H20" s="120"/>
    </row>
    <row r="21" spans="1:12" ht="131.25" customHeight="1">
      <c r="A21" s="121" t="s">
        <v>503</v>
      </c>
      <c r="B21" s="44">
        <v>5300</v>
      </c>
      <c r="C21" s="114"/>
      <c r="D21" s="129">
        <v>0</v>
      </c>
      <c r="E21" s="129">
        <v>0</v>
      </c>
      <c r="F21" s="129">
        <v>0</v>
      </c>
      <c r="G21" s="129">
        <v>0</v>
      </c>
      <c r="H21" s="131"/>
    </row>
    <row r="22" spans="1:12" ht="20.100000000000001" customHeight="1">
      <c r="A22" s="132"/>
      <c r="B22" s="132"/>
      <c r="C22" s="132"/>
      <c r="D22" s="132"/>
      <c r="E22" s="132"/>
      <c r="F22" s="132"/>
      <c r="G22" s="132"/>
      <c r="H22" s="132"/>
    </row>
    <row r="23" spans="1:12" ht="20.100000000000001" customHeight="1">
      <c r="A23" s="132"/>
      <c r="B23" s="132"/>
      <c r="C23" s="132"/>
      <c r="D23" s="132"/>
      <c r="E23" s="132"/>
      <c r="F23" s="132"/>
      <c r="G23" s="132"/>
      <c r="H23" s="132"/>
    </row>
    <row r="24" spans="1:12" ht="20.100000000000001" customHeight="1">
      <c r="A24" s="132"/>
      <c r="B24" s="132"/>
      <c r="C24" s="132"/>
      <c r="D24" s="132"/>
      <c r="E24" s="132"/>
      <c r="F24" s="132"/>
      <c r="G24" s="132"/>
      <c r="H24" s="132"/>
    </row>
    <row r="25" spans="1:12" s="79" customFormat="1" ht="20.100000000000001" customHeight="1">
      <c r="A25" s="133" t="s">
        <v>122</v>
      </c>
      <c r="B25" s="67"/>
      <c r="C25" s="359" t="s">
        <v>123</v>
      </c>
      <c r="D25" s="359"/>
      <c r="E25" s="359"/>
      <c r="F25" s="359"/>
      <c r="G25" s="359"/>
      <c r="H25" s="360" t="s">
        <v>124</v>
      </c>
      <c r="I25" s="360"/>
      <c r="J25" s="360"/>
    </row>
    <row r="26" spans="1:12" s="39" customFormat="1" ht="20.100000000000001" customHeight="1">
      <c r="A26" s="67" t="s">
        <v>125</v>
      </c>
      <c r="B26" s="347" t="s">
        <v>126</v>
      </c>
      <c r="C26" s="347"/>
      <c r="D26" s="347"/>
      <c r="E26" s="347"/>
      <c r="F26" s="347"/>
      <c r="G26" s="347" t="s">
        <v>127</v>
      </c>
      <c r="H26" s="347"/>
      <c r="I26" s="135"/>
      <c r="J26" s="136"/>
    </row>
  </sheetData>
  <mergeCells count="13">
    <mergeCell ref="A1:H1"/>
    <mergeCell ref="C25:G25"/>
    <mergeCell ref="H25:J25"/>
    <mergeCell ref="B26:F26"/>
    <mergeCell ref="G26:H26"/>
    <mergeCell ref="A3:A4"/>
    <mergeCell ref="B3:B4"/>
    <mergeCell ref="C3:C4"/>
    <mergeCell ref="D3:D4"/>
    <mergeCell ref="E3:E4"/>
    <mergeCell ref="F3:F4"/>
    <mergeCell ref="G3:G4"/>
    <mergeCell ref="H3:H4"/>
  </mergeCells>
  <pageMargins left="1.1812499999999999" right="0.39374999999999999" top="0.59027777777777801" bottom="0.59027777777777801" header="0.51180555555555496" footer="0.51180555555555496"/>
  <pageSetup paperSize="9" scale="43" firstPageNumber="0" orientation="portrait" useFirstPageNumber="1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W84"/>
  <sheetViews>
    <sheetView topLeftCell="A55" zoomScale="60" zoomScaleNormal="60" workbookViewId="0">
      <selection activeCell="M65" sqref="M65:O65"/>
    </sheetView>
  </sheetViews>
  <sheetFormatPr defaultColWidth="9" defaultRowHeight="18.75"/>
  <cols>
    <col min="1" max="1" width="44.7109375" style="39" customWidth="1"/>
    <col min="2" max="2" width="13.5703125" style="80" customWidth="1"/>
    <col min="3" max="3" width="13.85546875" style="39" customWidth="1"/>
    <col min="4" max="4" width="16.140625" style="39" customWidth="1"/>
    <col min="5" max="5" width="15.42578125" style="39" customWidth="1"/>
    <col min="6" max="6" width="16.5703125" style="39" customWidth="1"/>
    <col min="7" max="7" width="15.140625" style="39" customWidth="1"/>
    <col min="8" max="8" width="16.5703125" style="39" customWidth="1"/>
    <col min="9" max="9" width="16.140625" style="39" customWidth="1"/>
    <col min="10" max="10" width="16.42578125" style="39" customWidth="1"/>
    <col min="11" max="11" width="16.5703125" style="39" customWidth="1"/>
    <col min="12" max="15" width="16.85546875" style="39" customWidth="1"/>
    <col min="16" max="257" width="9.140625" style="39" customWidth="1"/>
    <col min="258" max="1025" width="9.140625" customWidth="1"/>
  </cols>
  <sheetData>
    <row r="1" spans="1:15" ht="18.75" customHeight="1">
      <c r="A1" s="330" t="s">
        <v>504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spans="1:15" ht="18.75" customHeight="1">
      <c r="A2" s="330" t="s">
        <v>505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spans="1:15" ht="18.75" customHeight="1">
      <c r="A3" s="347" t="s">
        <v>506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</row>
    <row r="4" spans="1:15" ht="20.100000000000001" customHeight="1">
      <c r="A4" s="362" t="s">
        <v>507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</row>
    <row r="5" spans="1:15" ht="21.95" customHeight="1">
      <c r="A5" s="363" t="s">
        <v>508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</row>
    <row r="6" spans="1:15" ht="77.25" customHeight="1">
      <c r="A6" s="364" t="s">
        <v>509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</row>
    <row r="7" spans="1:15" ht="16.5" customHeight="1">
      <c r="A7" s="365" t="s">
        <v>510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</row>
    <row r="8" spans="1:15" ht="10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s="79" customFormat="1" ht="40.5" customHeight="1">
      <c r="A9" s="340" t="s">
        <v>61</v>
      </c>
      <c r="B9" s="340"/>
      <c r="C9" s="340"/>
      <c r="D9" s="332" t="s">
        <v>511</v>
      </c>
      <c r="E9" s="332"/>
      <c r="F9" s="332" t="s">
        <v>63</v>
      </c>
      <c r="G9" s="332"/>
      <c r="H9" s="332" t="s">
        <v>351</v>
      </c>
      <c r="I9" s="332"/>
      <c r="J9" s="332" t="s">
        <v>65</v>
      </c>
      <c r="K9" s="332"/>
      <c r="L9" s="332" t="s">
        <v>512</v>
      </c>
      <c r="M9" s="332"/>
      <c r="N9" s="332" t="s">
        <v>513</v>
      </c>
      <c r="O9" s="332"/>
    </row>
    <row r="10" spans="1:15" s="79" customFormat="1" ht="18" customHeight="1">
      <c r="A10" s="340">
        <v>1</v>
      </c>
      <c r="B10" s="340"/>
      <c r="C10" s="340"/>
      <c r="D10" s="332">
        <v>2</v>
      </c>
      <c r="E10" s="332"/>
      <c r="F10" s="332">
        <v>3</v>
      </c>
      <c r="G10" s="332"/>
      <c r="H10" s="332">
        <v>4</v>
      </c>
      <c r="I10" s="332"/>
      <c r="J10" s="332">
        <v>5</v>
      </c>
      <c r="K10" s="332"/>
      <c r="L10" s="332">
        <v>6</v>
      </c>
      <c r="M10" s="332"/>
      <c r="N10" s="332">
        <v>7</v>
      </c>
      <c r="O10" s="332"/>
    </row>
    <row r="11" spans="1:15" s="79" customFormat="1" ht="20.100000000000001" customHeight="1">
      <c r="A11" s="333" t="s">
        <v>514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66"/>
      <c r="M11" s="366"/>
      <c r="N11" s="366"/>
      <c r="O11" s="366"/>
    </row>
    <row r="12" spans="1:15" s="79" customFormat="1" ht="20.100000000000001" customHeight="1">
      <c r="A12" s="367" t="s">
        <v>515</v>
      </c>
      <c r="B12" s="367"/>
      <c r="C12" s="367"/>
      <c r="D12" s="368">
        <v>8</v>
      </c>
      <c r="E12" s="368"/>
      <c r="F12" s="368">
        <v>6</v>
      </c>
      <c r="G12" s="368"/>
      <c r="H12" s="368">
        <v>8</v>
      </c>
      <c r="I12" s="368"/>
      <c r="J12" s="368">
        <v>8</v>
      </c>
      <c r="K12" s="368"/>
      <c r="L12" s="369">
        <f>J12/H12*100%</f>
        <v>1</v>
      </c>
      <c r="M12" s="369"/>
      <c r="N12" s="369">
        <f>J12/F12*100%</f>
        <v>1.3333333333333333</v>
      </c>
      <c r="O12" s="369"/>
    </row>
    <row r="13" spans="1:15" s="79" customFormat="1" ht="20.100000000000001" customHeight="1">
      <c r="A13" s="367" t="s">
        <v>516</v>
      </c>
      <c r="B13" s="367"/>
      <c r="C13" s="367"/>
      <c r="D13" s="368">
        <v>15</v>
      </c>
      <c r="E13" s="368"/>
      <c r="F13" s="368">
        <v>10</v>
      </c>
      <c r="G13" s="368"/>
      <c r="H13" s="368">
        <v>15</v>
      </c>
      <c r="I13" s="368"/>
      <c r="J13" s="368">
        <v>15</v>
      </c>
      <c r="K13" s="368"/>
      <c r="L13" s="369">
        <f>J13/H13*100%</f>
        <v>1</v>
      </c>
      <c r="M13" s="369"/>
      <c r="N13" s="369">
        <f>J13/F13*100%</f>
        <v>1.5</v>
      </c>
      <c r="O13" s="369"/>
    </row>
    <row r="14" spans="1:15" s="79" customFormat="1" ht="20.100000000000001" customHeight="1">
      <c r="A14" s="367" t="s">
        <v>517</v>
      </c>
      <c r="B14" s="367"/>
      <c r="C14" s="367"/>
      <c r="D14" s="368">
        <v>17</v>
      </c>
      <c r="E14" s="368"/>
      <c r="F14" s="368">
        <v>0</v>
      </c>
      <c r="G14" s="368"/>
      <c r="H14" s="368">
        <v>17</v>
      </c>
      <c r="I14" s="368"/>
      <c r="J14" s="368">
        <v>17</v>
      </c>
      <c r="K14" s="368"/>
      <c r="L14" s="369">
        <f>J14/H14*100%</f>
        <v>1</v>
      </c>
      <c r="M14" s="369"/>
      <c r="N14" s="369">
        <v>0</v>
      </c>
      <c r="O14" s="369"/>
    </row>
    <row r="15" spans="1:15" s="79" customFormat="1" ht="20.100000000000001" customHeight="1">
      <c r="A15" s="367" t="s">
        <v>518</v>
      </c>
      <c r="B15" s="367"/>
      <c r="C15" s="367"/>
      <c r="D15" s="370"/>
      <c r="E15" s="370"/>
      <c r="F15" s="370"/>
      <c r="G15" s="370"/>
      <c r="H15" s="370"/>
      <c r="I15" s="370"/>
      <c r="J15" s="370"/>
      <c r="K15" s="370"/>
      <c r="L15" s="369"/>
      <c r="M15" s="369"/>
      <c r="N15" s="369"/>
      <c r="O15" s="369"/>
    </row>
    <row r="16" spans="1:15" s="79" customFormat="1" ht="20.100000000000001" customHeight="1">
      <c r="A16" s="367" t="s">
        <v>519</v>
      </c>
      <c r="B16" s="367"/>
      <c r="C16" s="367"/>
      <c r="D16" s="370"/>
      <c r="E16" s="370"/>
      <c r="F16" s="370"/>
      <c r="G16" s="370"/>
      <c r="H16" s="370"/>
      <c r="I16" s="370"/>
      <c r="J16" s="370"/>
      <c r="K16" s="370"/>
      <c r="L16" s="369"/>
      <c r="M16" s="369"/>
      <c r="N16" s="369"/>
      <c r="O16" s="369"/>
    </row>
    <row r="17" spans="1:16" s="79" customFormat="1" ht="20.100000000000001" customHeight="1">
      <c r="A17" s="367" t="s">
        <v>520</v>
      </c>
      <c r="B17" s="367"/>
      <c r="C17" s="367"/>
      <c r="D17" s="370"/>
      <c r="E17" s="370"/>
      <c r="F17" s="370"/>
      <c r="G17" s="370"/>
      <c r="H17" s="370"/>
      <c r="I17" s="370"/>
      <c r="J17" s="370"/>
      <c r="K17" s="370"/>
      <c r="L17" s="369"/>
      <c r="M17" s="369"/>
      <c r="N17" s="369"/>
      <c r="O17" s="369"/>
    </row>
    <row r="18" spans="1:16" s="79" customFormat="1" ht="20.100000000000001" customHeight="1">
      <c r="A18" s="333" t="s">
        <v>521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69"/>
      <c r="M18" s="369"/>
      <c r="N18" s="369"/>
      <c r="O18" s="369"/>
    </row>
    <row r="19" spans="1:16" s="79" customFormat="1" ht="20.100000000000001" customHeight="1">
      <c r="A19" s="371" t="s">
        <v>522</v>
      </c>
      <c r="B19" s="371"/>
      <c r="C19" s="371"/>
      <c r="D19" s="372">
        <v>219</v>
      </c>
      <c r="E19" s="372"/>
      <c r="F19" s="372">
        <v>378</v>
      </c>
      <c r="G19" s="372"/>
      <c r="H19" s="372">
        <v>230</v>
      </c>
      <c r="I19" s="372"/>
      <c r="J19" s="372">
        <f>ROUND(Лист3!K54/1000,0)</f>
        <v>228</v>
      </c>
      <c r="K19" s="372"/>
      <c r="L19" s="369">
        <f>J19/H19*100%</f>
        <v>0.99130434782608701</v>
      </c>
      <c r="M19" s="369"/>
      <c r="N19" s="369">
        <f>J19/F19*100%</f>
        <v>0.60317460317460314</v>
      </c>
      <c r="O19" s="369"/>
      <c r="P19" s="79" t="s">
        <v>523</v>
      </c>
    </row>
    <row r="20" spans="1:16" s="79" customFormat="1" ht="20.100000000000001" customHeight="1">
      <c r="A20" s="371" t="s">
        <v>524</v>
      </c>
      <c r="B20" s="371"/>
      <c r="C20" s="371"/>
      <c r="D20" s="373">
        <v>3879</v>
      </c>
      <c r="E20" s="373"/>
      <c r="F20" s="373">
        <v>3305</v>
      </c>
      <c r="G20" s="373"/>
      <c r="H20" s="373">
        <v>4065</v>
      </c>
      <c r="I20" s="373"/>
      <c r="J20" s="373">
        <f>ROUND(Лист3!K55/1000,0)</f>
        <v>4034</v>
      </c>
      <c r="K20" s="373"/>
      <c r="L20" s="369">
        <f>J20/H20*100%</f>
        <v>0.99237392373923738</v>
      </c>
      <c r="M20" s="369"/>
      <c r="N20" s="369">
        <f>J20/F20*100%</f>
        <v>1.2205748865355521</v>
      </c>
      <c r="O20" s="369"/>
    </row>
    <row r="21" spans="1:16" s="79" customFormat="1" ht="20.100000000000001" customHeight="1">
      <c r="A21" s="371" t="s">
        <v>525</v>
      </c>
      <c r="B21" s="371"/>
      <c r="C21" s="371"/>
      <c r="D21" s="372">
        <v>169</v>
      </c>
      <c r="E21" s="372"/>
      <c r="F21" s="372">
        <v>0</v>
      </c>
      <c r="G21" s="372"/>
      <c r="H21" s="372">
        <v>177</v>
      </c>
      <c r="I21" s="372"/>
      <c r="J21" s="372">
        <f>ROUND(Лист3!K56/1000,0)</f>
        <v>176</v>
      </c>
      <c r="K21" s="372"/>
      <c r="L21" s="369">
        <f>J21/H21*100%</f>
        <v>0.99435028248587576</v>
      </c>
      <c r="M21" s="369"/>
      <c r="N21" s="369">
        <v>0</v>
      </c>
      <c r="O21" s="369"/>
    </row>
    <row r="22" spans="1:16" s="79" customFormat="1" ht="20.100000000000001" customHeight="1">
      <c r="A22" s="345" t="s">
        <v>526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69"/>
      <c r="M22" s="369"/>
      <c r="N22" s="369"/>
      <c r="O22" s="369"/>
    </row>
    <row r="23" spans="1:16" s="79" customFormat="1" ht="20.100000000000001" customHeight="1">
      <c r="A23" s="371" t="s">
        <v>522</v>
      </c>
      <c r="B23" s="371"/>
      <c r="C23" s="371"/>
      <c r="D23" s="372">
        <v>267</v>
      </c>
      <c r="E23" s="372"/>
      <c r="F23" s="372">
        <v>461</v>
      </c>
      <c r="G23" s="372"/>
      <c r="H23" s="372">
        <v>280</v>
      </c>
      <c r="I23" s="372"/>
      <c r="J23" s="372">
        <f>ROUND(Лист3!K59/1000,0)</f>
        <v>278</v>
      </c>
      <c r="K23" s="372"/>
      <c r="L23" s="369">
        <f>J23/H23*100%</f>
        <v>0.99285714285714288</v>
      </c>
      <c r="M23" s="369"/>
      <c r="N23" s="369">
        <f>J23/F23*100%</f>
        <v>0.60303687635574832</v>
      </c>
      <c r="O23" s="369"/>
      <c r="P23" s="79" t="s">
        <v>527</v>
      </c>
    </row>
    <row r="24" spans="1:16" s="79" customFormat="1" ht="20.100000000000001" customHeight="1">
      <c r="A24" s="371" t="s">
        <v>524</v>
      </c>
      <c r="B24" s="371"/>
      <c r="C24" s="371"/>
      <c r="D24" s="373">
        <v>4721</v>
      </c>
      <c r="E24" s="373"/>
      <c r="F24" s="373">
        <v>4006</v>
      </c>
      <c r="G24" s="373"/>
      <c r="H24" s="373">
        <v>4947</v>
      </c>
      <c r="I24" s="373"/>
      <c r="J24" s="373">
        <f>ROUND(Лист3!K60/1000,0)</f>
        <v>4909</v>
      </c>
      <c r="K24" s="373"/>
      <c r="L24" s="369">
        <f>J24/H24*100%</f>
        <v>0.99231857691530223</v>
      </c>
      <c r="M24" s="369"/>
      <c r="N24" s="369">
        <f>J24/F24*100%</f>
        <v>1.2254118821767348</v>
      </c>
      <c r="O24" s="369"/>
    </row>
    <row r="25" spans="1:16" s="79" customFormat="1" ht="20.100000000000001" customHeight="1">
      <c r="A25" s="371" t="s">
        <v>525</v>
      </c>
      <c r="B25" s="371"/>
      <c r="C25" s="371"/>
      <c r="D25" s="372">
        <v>205</v>
      </c>
      <c r="E25" s="372"/>
      <c r="F25" s="372">
        <v>0</v>
      </c>
      <c r="G25" s="372"/>
      <c r="H25" s="372">
        <v>216</v>
      </c>
      <c r="I25" s="372"/>
      <c r="J25" s="372">
        <f>ROUND(Лист3!K61/1000,0)</f>
        <v>214</v>
      </c>
      <c r="K25" s="372"/>
      <c r="L25" s="369">
        <f>J25/H25*100%</f>
        <v>0.9907407407407407</v>
      </c>
      <c r="M25" s="369"/>
      <c r="N25" s="369">
        <v>0</v>
      </c>
      <c r="O25" s="369"/>
    </row>
    <row r="26" spans="1:16" s="79" customFormat="1" ht="38.25" customHeight="1">
      <c r="A26" s="345" t="s">
        <v>528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69"/>
      <c r="M26" s="369"/>
      <c r="N26" s="369"/>
      <c r="O26" s="369"/>
    </row>
    <row r="27" spans="1:16" s="79" customFormat="1" ht="20.100000000000001" customHeight="1">
      <c r="A27" s="371" t="s">
        <v>522</v>
      </c>
      <c r="B27" s="371"/>
      <c r="C27" s="371"/>
      <c r="D27" s="374">
        <v>18248</v>
      </c>
      <c r="E27" s="374"/>
      <c r="F27" s="374">
        <v>17196</v>
      </c>
      <c r="G27" s="374"/>
      <c r="H27" s="374">
        <v>18980</v>
      </c>
      <c r="I27" s="374"/>
      <c r="J27" s="374">
        <f>Лист3!K64</f>
        <v>18980</v>
      </c>
      <c r="K27" s="374"/>
      <c r="L27" s="369">
        <f>J27/H27*100%</f>
        <v>1</v>
      </c>
      <c r="M27" s="369"/>
      <c r="N27" s="369">
        <f>J27/F27*100%</f>
        <v>1.1037450569899976</v>
      </c>
      <c r="O27" s="369"/>
      <c r="P27" s="79" t="s">
        <v>529</v>
      </c>
    </row>
    <row r="28" spans="1:16" s="79" customFormat="1" ht="20.100000000000001" customHeight="1">
      <c r="A28" s="371" t="s">
        <v>524</v>
      </c>
      <c r="B28" s="371"/>
      <c r="C28" s="371"/>
      <c r="D28" s="374">
        <v>5824</v>
      </c>
      <c r="E28" s="374"/>
      <c r="F28" s="374">
        <v>9561</v>
      </c>
      <c r="G28" s="374"/>
      <c r="H28" s="374">
        <v>6057</v>
      </c>
      <c r="I28" s="374"/>
      <c r="J28" s="374">
        <f>Лист3!K65</f>
        <v>6056.9459459459458</v>
      </c>
      <c r="K28" s="374"/>
      <c r="L28" s="369">
        <f>J28/H28*100%</f>
        <v>0.99999107577116486</v>
      </c>
      <c r="M28" s="369"/>
      <c r="N28" s="369">
        <f>J28/F28*100%</f>
        <v>0.63350548540382234</v>
      </c>
      <c r="O28" s="369"/>
    </row>
    <row r="29" spans="1:16" s="79" customFormat="1" ht="20.100000000000001" customHeight="1">
      <c r="A29" s="371" t="s">
        <v>525</v>
      </c>
      <c r="B29" s="371"/>
      <c r="C29" s="371"/>
      <c r="D29" s="374">
        <v>4688</v>
      </c>
      <c r="E29" s="374"/>
      <c r="F29" s="374">
        <v>0</v>
      </c>
      <c r="G29" s="374"/>
      <c r="H29" s="374">
        <v>4875</v>
      </c>
      <c r="I29" s="374"/>
      <c r="J29" s="374">
        <f>Лист3!K66</f>
        <v>4875</v>
      </c>
      <c r="K29" s="374"/>
      <c r="L29" s="369">
        <f>J29/H29*100%</f>
        <v>1</v>
      </c>
      <c r="M29" s="369"/>
      <c r="N29" s="369">
        <v>0</v>
      </c>
      <c r="O29" s="369"/>
    </row>
    <row r="30" spans="1:16" s="79" customFormat="1" ht="20.100000000000001" customHeight="1">
      <c r="A30" s="345" t="s">
        <v>530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69"/>
      <c r="M30" s="369"/>
      <c r="N30" s="369"/>
      <c r="O30" s="369"/>
    </row>
    <row r="31" spans="1:16" s="79" customFormat="1" ht="20.100000000000001" customHeight="1">
      <c r="A31" s="371" t="s">
        <v>522</v>
      </c>
      <c r="B31" s="371"/>
      <c r="C31" s="371"/>
      <c r="D31" s="374">
        <v>18248</v>
      </c>
      <c r="E31" s="374"/>
      <c r="F31" s="374">
        <v>31488</v>
      </c>
      <c r="G31" s="374"/>
      <c r="H31" s="374">
        <v>18980</v>
      </c>
      <c r="I31" s="374"/>
      <c r="J31" s="374">
        <f>Лист3!K69</f>
        <v>18980</v>
      </c>
      <c r="K31" s="374"/>
      <c r="L31" s="369">
        <f>J31/H31*100%</f>
        <v>1</v>
      </c>
      <c r="M31" s="369"/>
      <c r="N31" s="369">
        <f>J31/F31*100%</f>
        <v>0.60276930894308944</v>
      </c>
      <c r="O31" s="369"/>
      <c r="P31" s="79" t="s">
        <v>531</v>
      </c>
    </row>
    <row r="32" spans="1:16" s="79" customFormat="1" ht="20.100000000000001" customHeight="1">
      <c r="A32" s="371" t="s">
        <v>524</v>
      </c>
      <c r="B32" s="371"/>
      <c r="C32" s="371"/>
      <c r="D32" s="374">
        <v>8736</v>
      </c>
      <c r="E32" s="374"/>
      <c r="F32" s="374">
        <v>18361</v>
      </c>
      <c r="G32" s="374"/>
      <c r="H32" s="374">
        <v>9085</v>
      </c>
      <c r="I32" s="374"/>
      <c r="J32" s="374">
        <f>Лист3!K70</f>
        <v>9085.4189189189183</v>
      </c>
      <c r="K32" s="374"/>
      <c r="L32" s="369">
        <f>J32/H32*100%</f>
        <v>1.0000461110532657</v>
      </c>
      <c r="M32" s="369"/>
      <c r="N32" s="369">
        <f>J32/F32*100%</f>
        <v>0.49482157392946563</v>
      </c>
      <c r="O32" s="369"/>
    </row>
    <row r="33" spans="1:15" s="79" customFormat="1" ht="20.100000000000001" customHeight="1">
      <c r="A33" s="371" t="s">
        <v>525</v>
      </c>
      <c r="B33" s="371"/>
      <c r="C33" s="371"/>
      <c r="D33" s="374">
        <v>7031</v>
      </c>
      <c r="E33" s="374"/>
      <c r="F33" s="374">
        <v>0</v>
      </c>
      <c r="G33" s="374"/>
      <c r="H33" s="374">
        <v>7313</v>
      </c>
      <c r="I33" s="374"/>
      <c r="J33" s="374">
        <f>Лист3!K71</f>
        <v>7312.5</v>
      </c>
      <c r="K33" s="374"/>
      <c r="L33" s="369">
        <f>J33/H33*100%</f>
        <v>0.99993162860659102</v>
      </c>
      <c r="M33" s="369"/>
      <c r="N33" s="369">
        <v>0</v>
      </c>
      <c r="O33" s="369"/>
    </row>
    <row r="34" spans="1:15" ht="10.5" customHeight="1">
      <c r="A34" s="86"/>
      <c r="B34" s="86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20.100000000000001" customHeight="1">
      <c r="A35" s="375" t="s">
        <v>532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</row>
    <row r="36" spans="1:15" ht="15" customHeight="1">
      <c r="A36" s="87"/>
      <c r="B36" s="87"/>
      <c r="C36" s="87"/>
      <c r="D36" s="87"/>
      <c r="E36" s="87"/>
      <c r="F36" s="87"/>
      <c r="G36" s="87"/>
      <c r="H36" s="87"/>
      <c r="I36" s="87"/>
    </row>
    <row r="37" spans="1:15" ht="21.95" customHeight="1">
      <c r="A37" s="376" t="s">
        <v>533</v>
      </c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</row>
    <row r="38" spans="1:15" ht="10.5" customHeight="1"/>
    <row r="39" spans="1:15" ht="60" customHeight="1">
      <c r="A39" s="89" t="s">
        <v>534</v>
      </c>
      <c r="B39" s="377" t="s">
        <v>535</v>
      </c>
      <c r="C39" s="377"/>
      <c r="D39" s="377"/>
      <c r="E39" s="377"/>
      <c r="F39" s="354" t="s">
        <v>536</v>
      </c>
      <c r="G39" s="354"/>
      <c r="H39" s="354"/>
      <c r="I39" s="354"/>
      <c r="J39" s="354"/>
      <c r="K39" s="354"/>
      <c r="L39" s="354"/>
      <c r="M39" s="354"/>
      <c r="N39" s="354"/>
      <c r="O39" s="354"/>
    </row>
    <row r="40" spans="1:15" ht="18" customHeight="1">
      <c r="A40" s="89">
        <v>1</v>
      </c>
      <c r="B40" s="377">
        <v>2</v>
      </c>
      <c r="C40" s="377"/>
      <c r="D40" s="377"/>
      <c r="E40" s="377"/>
      <c r="F40" s="354">
        <v>3</v>
      </c>
      <c r="G40" s="354"/>
      <c r="H40" s="354"/>
      <c r="I40" s="354"/>
      <c r="J40" s="354"/>
      <c r="K40" s="354"/>
      <c r="L40" s="354"/>
      <c r="M40" s="354"/>
      <c r="N40" s="354"/>
      <c r="O40" s="354"/>
    </row>
    <row r="41" spans="1:15" ht="20.100000000000001" customHeight="1">
      <c r="A41" s="90"/>
      <c r="B41" s="378"/>
      <c r="C41" s="378"/>
      <c r="D41" s="378"/>
      <c r="E41" s="378"/>
      <c r="F41" s="379"/>
      <c r="G41" s="379"/>
      <c r="H41" s="379"/>
      <c r="I41" s="379"/>
      <c r="J41" s="379"/>
      <c r="K41" s="379"/>
      <c r="L41" s="379"/>
      <c r="M41" s="379"/>
      <c r="N41" s="379"/>
      <c r="O41" s="379"/>
    </row>
    <row r="42" spans="1:15" ht="20.100000000000001" customHeight="1">
      <c r="A42" s="90"/>
      <c r="B42" s="378"/>
      <c r="C42" s="378"/>
      <c r="D42" s="378"/>
      <c r="E42" s="378"/>
      <c r="F42" s="379"/>
      <c r="G42" s="379"/>
      <c r="H42" s="379"/>
      <c r="I42" s="379"/>
      <c r="J42" s="379"/>
      <c r="K42" s="379"/>
      <c r="L42" s="379"/>
      <c r="M42" s="379"/>
      <c r="N42" s="379"/>
      <c r="O42" s="379"/>
    </row>
    <row r="43" spans="1:15" ht="20.100000000000001" customHeight="1">
      <c r="A43" s="90"/>
      <c r="B43" s="378"/>
      <c r="C43" s="378"/>
      <c r="D43" s="378"/>
      <c r="E43" s="378"/>
      <c r="F43" s="379"/>
      <c r="G43" s="379"/>
      <c r="H43" s="379"/>
      <c r="I43" s="379"/>
      <c r="J43" s="379"/>
      <c r="K43" s="379"/>
      <c r="L43" s="379"/>
      <c r="M43" s="379"/>
      <c r="N43" s="379"/>
      <c r="O43" s="379"/>
    </row>
    <row r="44" spans="1:15" ht="20.100000000000001" customHeight="1">
      <c r="A44" s="90"/>
      <c r="B44" s="378"/>
      <c r="C44" s="378"/>
      <c r="D44" s="378"/>
      <c r="E44" s="378"/>
      <c r="F44" s="379"/>
      <c r="G44" s="379"/>
      <c r="H44" s="379"/>
      <c r="I44" s="379"/>
      <c r="J44" s="379"/>
      <c r="K44" s="379"/>
      <c r="L44" s="379"/>
      <c r="M44" s="379"/>
      <c r="N44" s="379"/>
      <c r="O44" s="379"/>
    </row>
    <row r="45" spans="1:15" ht="20.100000000000001" customHeight="1">
      <c r="A45" s="90"/>
      <c r="B45" s="378"/>
      <c r="C45" s="378"/>
      <c r="D45" s="378"/>
      <c r="E45" s="378"/>
      <c r="F45" s="379"/>
      <c r="G45" s="379"/>
      <c r="H45" s="379"/>
      <c r="I45" s="379"/>
      <c r="J45" s="379"/>
      <c r="K45" s="379"/>
      <c r="L45" s="379"/>
      <c r="M45" s="379"/>
      <c r="N45" s="379"/>
      <c r="O45" s="379"/>
    </row>
    <row r="46" spans="1:15" ht="20.100000000000001" customHeight="1">
      <c r="A46" s="90"/>
      <c r="B46" s="378"/>
      <c r="C46" s="378"/>
      <c r="D46" s="378"/>
      <c r="E46" s="378"/>
      <c r="F46" s="379"/>
      <c r="G46" s="379"/>
      <c r="H46" s="379"/>
      <c r="I46" s="379"/>
      <c r="J46" s="379"/>
      <c r="K46" s="379"/>
      <c r="L46" s="379"/>
      <c r="M46" s="379"/>
      <c r="N46" s="379"/>
      <c r="O46" s="379"/>
    </row>
    <row r="47" spans="1:15" ht="20.100000000000001" customHeight="1">
      <c r="A47" s="90"/>
      <c r="B47" s="378"/>
      <c r="C47" s="378"/>
      <c r="D47" s="378"/>
      <c r="E47" s="378"/>
      <c r="F47" s="379"/>
      <c r="G47" s="379"/>
      <c r="H47" s="379"/>
      <c r="I47" s="379"/>
      <c r="J47" s="379"/>
      <c r="K47" s="379"/>
      <c r="L47" s="379"/>
      <c r="M47" s="379"/>
      <c r="N47" s="379"/>
      <c r="O47" s="379"/>
    </row>
    <row r="48" spans="1:15" ht="20.100000000000001" customHeight="1">
      <c r="A48" s="90"/>
      <c r="B48" s="378"/>
      <c r="C48" s="378"/>
      <c r="D48" s="378"/>
      <c r="E48" s="378"/>
      <c r="F48" s="379"/>
      <c r="G48" s="379"/>
      <c r="H48" s="379"/>
      <c r="I48" s="379"/>
      <c r="J48" s="379"/>
      <c r="K48" s="379"/>
      <c r="L48" s="379"/>
      <c r="M48" s="379"/>
      <c r="N48" s="379"/>
      <c r="O48" s="379"/>
    </row>
    <row r="49" spans="1:15" ht="20.100000000000001" customHeight="1">
      <c r="A49" s="91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ht="21.95" customHeight="1">
      <c r="A50" s="380" t="s">
        <v>537</v>
      </c>
      <c r="B50" s="380"/>
      <c r="C50" s="380"/>
      <c r="D50" s="380"/>
      <c r="E50" s="380"/>
      <c r="F50" s="380"/>
      <c r="G50" s="380"/>
      <c r="H50" s="380"/>
      <c r="I50" s="380"/>
      <c r="J50" s="380"/>
    </row>
    <row r="51" spans="1:15" ht="20.100000000000001" customHeight="1">
      <c r="A51" s="92"/>
    </row>
    <row r="52" spans="1:15" ht="63.95" customHeight="1">
      <c r="A52" s="352" t="s">
        <v>61</v>
      </c>
      <c r="B52" s="352" t="s">
        <v>538</v>
      </c>
      <c r="C52" s="352"/>
      <c r="D52" s="381" t="s">
        <v>539</v>
      </c>
      <c r="E52" s="381"/>
      <c r="F52" s="381"/>
      <c r="G52" s="381" t="s">
        <v>540</v>
      </c>
      <c r="H52" s="381"/>
      <c r="I52" s="381"/>
      <c r="J52" s="381" t="s">
        <v>541</v>
      </c>
      <c r="K52" s="381"/>
      <c r="L52" s="381"/>
      <c r="M52" s="381" t="s">
        <v>542</v>
      </c>
      <c r="N52" s="381"/>
      <c r="O52" s="381"/>
    </row>
    <row r="53" spans="1:15" ht="168.75" customHeight="1">
      <c r="A53" s="352"/>
      <c r="B53" s="44" t="s">
        <v>543</v>
      </c>
      <c r="C53" s="44" t="s">
        <v>544</v>
      </c>
      <c r="D53" s="44" t="s">
        <v>545</v>
      </c>
      <c r="E53" s="44" t="s">
        <v>546</v>
      </c>
      <c r="F53" s="44" t="s">
        <v>547</v>
      </c>
      <c r="G53" s="44" t="s">
        <v>545</v>
      </c>
      <c r="H53" s="44" t="s">
        <v>546</v>
      </c>
      <c r="I53" s="44" t="s">
        <v>547</v>
      </c>
      <c r="J53" s="44" t="s">
        <v>545</v>
      </c>
      <c r="K53" s="44" t="s">
        <v>546</v>
      </c>
      <c r="L53" s="44" t="s">
        <v>547</v>
      </c>
      <c r="M53" s="44" t="s">
        <v>545</v>
      </c>
      <c r="N53" s="44" t="s">
        <v>546</v>
      </c>
      <c r="O53" s="44" t="s">
        <v>547</v>
      </c>
    </row>
    <row r="54" spans="1:15" ht="18" customHeight="1">
      <c r="A54" s="44">
        <v>1</v>
      </c>
      <c r="B54" s="44">
        <v>2</v>
      </c>
      <c r="C54" s="44">
        <v>3</v>
      </c>
      <c r="D54" s="44">
        <v>4</v>
      </c>
      <c r="E54" s="44">
        <v>5</v>
      </c>
      <c r="F54" s="44">
        <v>6</v>
      </c>
      <c r="G54" s="44">
        <v>7</v>
      </c>
      <c r="H54" s="61">
        <v>8</v>
      </c>
      <c r="I54" s="61">
        <v>9</v>
      </c>
      <c r="J54" s="61">
        <v>10</v>
      </c>
      <c r="K54" s="61">
        <v>11</v>
      </c>
      <c r="L54" s="61">
        <v>12</v>
      </c>
      <c r="M54" s="61">
        <v>13</v>
      </c>
      <c r="N54" s="61">
        <v>14</v>
      </c>
      <c r="O54" s="61">
        <v>15</v>
      </c>
    </row>
    <row r="55" spans="1:15" ht="112.5" customHeight="1">
      <c r="A55" s="93" t="s">
        <v>548</v>
      </c>
      <c r="B55" s="94">
        <v>100</v>
      </c>
      <c r="C55" s="94">
        <v>100</v>
      </c>
      <c r="D55" s="95">
        <v>0</v>
      </c>
      <c r="E55" s="95">
        <v>0</v>
      </c>
      <c r="F55" s="96">
        <v>0</v>
      </c>
      <c r="G55" s="95">
        <v>150</v>
      </c>
      <c r="H55" s="95" t="s">
        <v>549</v>
      </c>
      <c r="I55" s="96">
        <v>10000</v>
      </c>
      <c r="J55" s="104">
        <v>0</v>
      </c>
      <c r="K55" s="104">
        <v>0</v>
      </c>
      <c r="L55" s="105">
        <v>0</v>
      </c>
      <c r="M55" s="95">
        <v>150</v>
      </c>
      <c r="N55" s="95" t="s">
        <v>549</v>
      </c>
      <c r="O55" s="96">
        <v>10000</v>
      </c>
    </row>
    <row r="56" spans="1:15" ht="150" hidden="1" customHeight="1">
      <c r="A56" s="93" t="s">
        <v>550</v>
      </c>
      <c r="B56" s="94">
        <v>0</v>
      </c>
      <c r="C56" s="94">
        <f>C57-C55</f>
        <v>0</v>
      </c>
      <c r="D56" s="56">
        <v>0</v>
      </c>
      <c r="E56" s="56">
        <v>0</v>
      </c>
      <c r="F56" s="94">
        <v>0</v>
      </c>
      <c r="G56" s="97">
        <v>0</v>
      </c>
      <c r="H56" s="56">
        <v>0</v>
      </c>
      <c r="I56" s="94">
        <v>0</v>
      </c>
      <c r="J56" s="97">
        <v>0</v>
      </c>
      <c r="K56" s="56">
        <v>0</v>
      </c>
      <c r="L56" s="94">
        <v>0</v>
      </c>
      <c r="M56" s="97"/>
      <c r="N56" s="56"/>
      <c r="O56" s="94"/>
    </row>
    <row r="57" spans="1:15" ht="20.100000000000001" customHeight="1">
      <c r="A57" s="58" t="s">
        <v>314</v>
      </c>
      <c r="B57" s="44">
        <v>100</v>
      </c>
      <c r="C57" s="44">
        <v>100</v>
      </c>
      <c r="D57" s="98">
        <f>SUM(D55:D56)</f>
        <v>0</v>
      </c>
      <c r="E57" s="98">
        <f>SUM(E55:E56)</f>
        <v>0</v>
      </c>
      <c r="F57" s="98">
        <f>SUM(F55:F56)</f>
        <v>0</v>
      </c>
      <c r="G57" s="98">
        <f>SUM(G55:G56)</f>
        <v>150</v>
      </c>
      <c r="H57" s="99"/>
      <c r="I57" s="99"/>
      <c r="J57" s="98">
        <f>SUM(J55:J56)</f>
        <v>0</v>
      </c>
      <c r="K57" s="99"/>
      <c r="L57" s="99"/>
      <c r="M57" s="98">
        <f>SUM(M55:M56)</f>
        <v>150</v>
      </c>
      <c r="N57" s="99"/>
      <c r="O57" s="99"/>
    </row>
    <row r="58" spans="1:15" ht="12" customHeight="1">
      <c r="A58" s="100"/>
      <c r="B58" s="101"/>
      <c r="C58" s="101"/>
      <c r="D58" s="101"/>
      <c r="E58" s="101"/>
      <c r="F58" s="102"/>
      <c r="G58" s="102"/>
      <c r="H58" s="102"/>
      <c r="I58" s="88"/>
      <c r="J58" s="88"/>
      <c r="K58" s="88"/>
      <c r="L58" s="88"/>
      <c r="M58" s="88"/>
      <c r="N58" s="88"/>
      <c r="O58" s="88"/>
    </row>
    <row r="59" spans="1:15" ht="14.25" customHeight="1">
      <c r="A59" s="376" t="s">
        <v>551</v>
      </c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</row>
    <row r="60" spans="1:15" ht="14.25" customHeight="1">
      <c r="A60" s="92"/>
    </row>
    <row r="61" spans="1:15" ht="58.35" customHeight="1">
      <c r="A61" s="44" t="s">
        <v>552</v>
      </c>
      <c r="B61" s="352" t="s">
        <v>553</v>
      </c>
      <c r="C61" s="352"/>
      <c r="D61" s="352" t="s">
        <v>554</v>
      </c>
      <c r="E61" s="352"/>
      <c r="F61" s="352" t="s">
        <v>555</v>
      </c>
      <c r="G61" s="352"/>
      <c r="H61" s="352" t="s">
        <v>556</v>
      </c>
      <c r="I61" s="352"/>
      <c r="J61" s="352"/>
      <c r="K61" s="352" t="s">
        <v>557</v>
      </c>
      <c r="L61" s="352"/>
      <c r="M61" s="352" t="s">
        <v>558</v>
      </c>
      <c r="N61" s="352"/>
      <c r="O61" s="352"/>
    </row>
    <row r="62" spans="1:15" ht="18" customHeight="1">
      <c r="A62" s="61">
        <v>1</v>
      </c>
      <c r="B62" s="354">
        <v>2</v>
      </c>
      <c r="C62" s="354"/>
      <c r="D62" s="354">
        <v>3</v>
      </c>
      <c r="E62" s="354"/>
      <c r="F62" s="382">
        <v>4</v>
      </c>
      <c r="G62" s="382"/>
      <c r="H62" s="354">
        <v>5</v>
      </c>
      <c r="I62" s="354"/>
      <c r="J62" s="354"/>
      <c r="K62" s="354">
        <v>6</v>
      </c>
      <c r="L62" s="354"/>
      <c r="M62" s="354">
        <v>7</v>
      </c>
      <c r="N62" s="354"/>
      <c r="O62" s="354"/>
    </row>
    <row r="63" spans="1:15" ht="80.25" customHeight="1">
      <c r="A63" s="103" t="s">
        <v>559</v>
      </c>
      <c r="B63" s="381" t="s">
        <v>560</v>
      </c>
      <c r="C63" s="381"/>
      <c r="D63" s="381" t="s">
        <v>561</v>
      </c>
      <c r="E63" s="381"/>
      <c r="F63" s="381">
        <v>5.75</v>
      </c>
      <c r="G63" s="381"/>
      <c r="H63" s="381" t="s">
        <v>562</v>
      </c>
      <c r="I63" s="381"/>
      <c r="J63" s="381"/>
      <c r="K63" s="383">
        <v>7000</v>
      </c>
      <c r="L63" s="383"/>
      <c r="M63" s="384" t="s">
        <v>563</v>
      </c>
      <c r="N63" s="384"/>
      <c r="O63" s="384"/>
    </row>
    <row r="64" spans="1:15" ht="58.5" customHeight="1">
      <c r="A64" s="103" t="s">
        <v>559</v>
      </c>
      <c r="B64" s="381" t="s">
        <v>564</v>
      </c>
      <c r="C64" s="381"/>
      <c r="D64" s="381" t="s">
        <v>561</v>
      </c>
      <c r="E64" s="381"/>
      <c r="F64" s="381">
        <v>5.75</v>
      </c>
      <c r="G64" s="381"/>
      <c r="H64" s="381" t="s">
        <v>565</v>
      </c>
      <c r="I64" s="381"/>
      <c r="J64" s="381"/>
      <c r="K64" s="385">
        <f>13226</f>
        <v>13226</v>
      </c>
      <c r="L64" s="385"/>
      <c r="M64" s="384" t="s">
        <v>566</v>
      </c>
      <c r="N64" s="384"/>
      <c r="O64" s="384"/>
    </row>
    <row r="65" spans="1:15" ht="57" customHeight="1">
      <c r="A65" s="103" t="s">
        <v>567</v>
      </c>
      <c r="B65" s="381" t="s">
        <v>568</v>
      </c>
      <c r="C65" s="381"/>
      <c r="D65" s="381" t="s">
        <v>561</v>
      </c>
      <c r="E65" s="381"/>
      <c r="F65" s="381">
        <v>3.4</v>
      </c>
      <c r="G65" s="381"/>
      <c r="H65" s="381" t="s">
        <v>569</v>
      </c>
      <c r="I65" s="381"/>
      <c r="J65" s="381"/>
      <c r="K65" s="381">
        <v>290</v>
      </c>
      <c r="L65" s="381"/>
      <c r="M65" s="384" t="s">
        <v>570</v>
      </c>
      <c r="N65" s="384"/>
      <c r="O65" s="384"/>
    </row>
    <row r="66" spans="1:15" ht="20.100000000000001" customHeight="1">
      <c r="A66" s="58" t="s">
        <v>314</v>
      </c>
      <c r="B66" s="352" t="s">
        <v>49</v>
      </c>
      <c r="C66" s="352"/>
      <c r="D66" s="352" t="s">
        <v>49</v>
      </c>
      <c r="E66" s="352"/>
      <c r="F66" s="352" t="s">
        <v>49</v>
      </c>
      <c r="G66" s="352"/>
      <c r="H66" s="381"/>
      <c r="I66" s="381"/>
      <c r="J66" s="381"/>
      <c r="K66" s="386">
        <f>SUM(K63:L65)</f>
        <v>20516</v>
      </c>
      <c r="L66" s="386"/>
      <c r="M66" s="381"/>
      <c r="N66" s="381"/>
      <c r="O66" s="381"/>
    </row>
    <row r="67" spans="1:15" ht="10.5" customHeight="1">
      <c r="A67" s="102"/>
      <c r="B67" s="40"/>
      <c r="C67" s="40"/>
      <c r="D67" s="40"/>
      <c r="E67" s="40"/>
      <c r="F67" s="40"/>
      <c r="G67" s="40"/>
      <c r="H67" s="40"/>
      <c r="I67" s="40"/>
      <c r="J67" s="40"/>
      <c r="K67" s="79"/>
      <c r="L67" s="79"/>
      <c r="M67" s="79"/>
      <c r="N67" s="79"/>
      <c r="O67" s="79"/>
    </row>
    <row r="68" spans="1:15" ht="21.95" customHeight="1">
      <c r="A68" s="376" t="s">
        <v>571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</row>
    <row r="69" spans="1:15" ht="20.100000000000001" customHeight="1">
      <c r="A69" s="88"/>
      <c r="B69" s="106"/>
      <c r="C69" s="88"/>
      <c r="D69" s="88"/>
      <c r="E69" s="88"/>
      <c r="F69" s="88"/>
      <c r="G69" s="88"/>
      <c r="H69" s="88"/>
      <c r="I69" s="64"/>
    </row>
    <row r="70" spans="1:15" ht="46.5" customHeight="1">
      <c r="A70" s="381" t="s">
        <v>572</v>
      </c>
      <c r="B70" s="381"/>
      <c r="C70" s="381"/>
      <c r="D70" s="381" t="s">
        <v>573</v>
      </c>
      <c r="E70" s="381"/>
      <c r="F70" s="381"/>
      <c r="G70" s="381" t="s">
        <v>574</v>
      </c>
      <c r="H70" s="381"/>
      <c r="I70" s="381"/>
      <c r="J70" s="381" t="s">
        <v>575</v>
      </c>
      <c r="K70" s="381"/>
      <c r="L70" s="381"/>
      <c r="M70" s="381" t="s">
        <v>576</v>
      </c>
      <c r="N70" s="381"/>
      <c r="O70" s="381"/>
    </row>
    <row r="71" spans="1:15" ht="18" customHeight="1">
      <c r="A71" s="381">
        <v>1</v>
      </c>
      <c r="B71" s="381"/>
      <c r="C71" s="381"/>
      <c r="D71" s="381">
        <v>2</v>
      </c>
      <c r="E71" s="381"/>
      <c r="F71" s="381"/>
      <c r="G71" s="381">
        <v>3</v>
      </c>
      <c r="H71" s="381"/>
      <c r="I71" s="381"/>
      <c r="J71" s="387">
        <v>4</v>
      </c>
      <c r="K71" s="387"/>
      <c r="L71" s="387"/>
      <c r="M71" s="387">
        <v>5</v>
      </c>
      <c r="N71" s="387"/>
      <c r="O71" s="387"/>
    </row>
    <row r="72" spans="1:15" ht="20.100000000000001" customHeight="1">
      <c r="A72" s="384" t="s">
        <v>577</v>
      </c>
      <c r="B72" s="384"/>
      <c r="C72" s="384"/>
      <c r="D72" s="370">
        <f>D75+D76</f>
        <v>11226</v>
      </c>
      <c r="E72" s="370"/>
      <c r="F72" s="370"/>
      <c r="G72" s="370">
        <f>G75+G76+G77</f>
        <v>10000</v>
      </c>
      <c r="H72" s="370"/>
      <c r="I72" s="370"/>
      <c r="J72" s="370">
        <f>J75+J76+J77</f>
        <v>1000</v>
      </c>
      <c r="K72" s="370"/>
      <c r="L72" s="370"/>
      <c r="M72" s="370">
        <f>M75+M76+M77</f>
        <v>20226</v>
      </c>
      <c r="N72" s="370"/>
      <c r="O72" s="370"/>
    </row>
    <row r="73" spans="1:15" ht="18" customHeight="1">
      <c r="A73" s="384" t="s">
        <v>578</v>
      </c>
      <c r="B73" s="384"/>
      <c r="C73" s="384"/>
      <c r="D73" s="370"/>
      <c r="E73" s="370"/>
      <c r="F73" s="370"/>
      <c r="G73" s="370"/>
      <c r="H73" s="370"/>
      <c r="I73" s="370"/>
      <c r="J73" s="370"/>
      <c r="K73" s="370"/>
      <c r="L73" s="370"/>
      <c r="M73" s="370">
        <f>D73+G73-J73</f>
        <v>0</v>
      </c>
      <c r="N73" s="370"/>
      <c r="O73" s="370"/>
    </row>
    <row r="74" spans="1:15" ht="0.75" hidden="1" customHeight="1">
      <c r="A74" s="384"/>
      <c r="B74" s="384"/>
      <c r="C74" s="384"/>
      <c r="D74" s="370"/>
      <c r="E74" s="370"/>
      <c r="F74" s="370"/>
      <c r="G74" s="370"/>
      <c r="H74" s="370"/>
      <c r="I74" s="370"/>
      <c r="J74" s="370"/>
      <c r="K74" s="370"/>
      <c r="L74" s="370"/>
      <c r="M74" s="370"/>
      <c r="N74" s="370"/>
      <c r="O74" s="370"/>
    </row>
    <row r="75" spans="1:15" ht="24.6" customHeight="1">
      <c r="A75" s="384" t="s">
        <v>579</v>
      </c>
      <c r="B75" s="384"/>
      <c r="C75" s="384"/>
      <c r="D75" s="370">
        <v>8000</v>
      </c>
      <c r="E75" s="370"/>
      <c r="F75" s="370"/>
      <c r="G75" s="370"/>
      <c r="H75" s="370"/>
      <c r="I75" s="370"/>
      <c r="J75" s="370">
        <v>1000</v>
      </c>
      <c r="K75" s="370"/>
      <c r="L75" s="370"/>
      <c r="M75" s="370">
        <f>D75+G75-J75</f>
        <v>7000</v>
      </c>
      <c r="N75" s="370"/>
      <c r="O75" s="370"/>
    </row>
    <row r="76" spans="1:15" ht="23.1" customHeight="1">
      <c r="A76" s="384" t="s">
        <v>580</v>
      </c>
      <c r="B76" s="384"/>
      <c r="C76" s="384"/>
      <c r="D76" s="370">
        <v>3226</v>
      </c>
      <c r="E76" s="370"/>
      <c r="F76" s="370"/>
      <c r="G76" s="370">
        <v>10000</v>
      </c>
      <c r="H76" s="370"/>
      <c r="I76" s="370"/>
      <c r="J76" s="370">
        <v>0</v>
      </c>
      <c r="K76" s="370"/>
      <c r="L76" s="370"/>
      <c r="M76" s="370">
        <f>D76+G76-J76</f>
        <v>13226</v>
      </c>
      <c r="N76" s="370"/>
      <c r="O76" s="370"/>
    </row>
    <row r="77" spans="1:15" ht="23.1" customHeight="1">
      <c r="A77" s="384"/>
      <c r="B77" s="384"/>
      <c r="C77" s="384"/>
      <c r="D77" s="107"/>
      <c r="E77" s="108"/>
      <c r="F77" s="109"/>
      <c r="G77" s="370"/>
      <c r="H77" s="370"/>
      <c r="I77" s="370"/>
      <c r="J77" s="370"/>
      <c r="K77" s="370"/>
      <c r="L77" s="370"/>
      <c r="M77" s="370"/>
      <c r="N77" s="370"/>
      <c r="O77" s="370"/>
    </row>
    <row r="78" spans="1:15" ht="20.100000000000001" customHeight="1">
      <c r="A78" s="384" t="s">
        <v>581</v>
      </c>
      <c r="B78" s="384"/>
      <c r="C78" s="384"/>
      <c r="D78" s="370"/>
      <c r="E78" s="370"/>
      <c r="F78" s="370"/>
      <c r="G78" s="370">
        <f>G80</f>
        <v>290</v>
      </c>
      <c r="H78" s="370"/>
      <c r="I78" s="370"/>
      <c r="J78" s="370">
        <f>J80</f>
        <v>0</v>
      </c>
      <c r="K78" s="370"/>
      <c r="L78" s="370"/>
      <c r="M78" s="370">
        <f>G78-J78</f>
        <v>290</v>
      </c>
      <c r="N78" s="370"/>
      <c r="O78" s="370"/>
    </row>
    <row r="79" spans="1:15" ht="18.75" customHeight="1">
      <c r="A79" s="384" t="s">
        <v>582</v>
      </c>
      <c r="B79" s="384"/>
      <c r="C79" s="384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</row>
    <row r="80" spans="1:15" ht="18.75" customHeight="1">
      <c r="A80" s="384" t="s">
        <v>583</v>
      </c>
      <c r="B80" s="384"/>
      <c r="C80" s="384"/>
      <c r="D80" s="370"/>
      <c r="E80" s="370"/>
      <c r="F80" s="370"/>
      <c r="G80" s="370">
        <v>290</v>
      </c>
      <c r="H80" s="370"/>
      <c r="I80" s="370"/>
      <c r="J80" s="370"/>
      <c r="K80" s="370"/>
      <c r="L80" s="370"/>
      <c r="M80" s="370">
        <f>G80-J80</f>
        <v>290</v>
      </c>
      <c r="N80" s="370"/>
      <c r="O80" s="370"/>
    </row>
    <row r="81" spans="1:15" ht="20.100000000000001" customHeight="1">
      <c r="A81" s="384" t="s">
        <v>584</v>
      </c>
      <c r="B81" s="384"/>
      <c r="C81" s="384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</row>
    <row r="82" spans="1:15" ht="18.75" customHeight="1">
      <c r="A82" s="384" t="s">
        <v>578</v>
      </c>
      <c r="B82" s="384"/>
      <c r="C82" s="384"/>
      <c r="D82" s="370"/>
      <c r="E82" s="370"/>
      <c r="F82" s="370"/>
      <c r="G82" s="370"/>
      <c r="H82" s="370"/>
      <c r="I82" s="370"/>
      <c r="J82" s="370"/>
      <c r="K82" s="370"/>
      <c r="L82" s="370"/>
      <c r="M82" s="370"/>
      <c r="N82" s="370"/>
      <c r="O82" s="370"/>
    </row>
    <row r="83" spans="1:15" ht="8.25" hidden="1" customHeight="1">
      <c r="A83" s="384"/>
      <c r="B83" s="384"/>
      <c r="C83" s="384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</row>
    <row r="84" spans="1:15" ht="20.100000000000001" customHeight="1">
      <c r="A84" s="384" t="s">
        <v>314</v>
      </c>
      <c r="B84" s="384"/>
      <c r="C84" s="384"/>
      <c r="D84" s="388">
        <f>D72+D78+D81</f>
        <v>11226</v>
      </c>
      <c r="E84" s="388"/>
      <c r="F84" s="388"/>
      <c r="G84" s="388">
        <f>G72+G78+G81</f>
        <v>10290</v>
      </c>
      <c r="H84" s="388"/>
      <c r="I84" s="388"/>
      <c r="J84" s="388">
        <f>J72+J78+J81</f>
        <v>1000</v>
      </c>
      <c r="K84" s="388"/>
      <c r="L84" s="388"/>
      <c r="M84" s="388">
        <f>M72+M78+M81</f>
        <v>20516</v>
      </c>
      <c r="N84" s="388"/>
      <c r="O84" s="388"/>
    </row>
  </sheetData>
  <mergeCells count="303">
    <mergeCell ref="A84:C84"/>
    <mergeCell ref="D84:F84"/>
    <mergeCell ref="G84:I84"/>
    <mergeCell ref="J84:L84"/>
    <mergeCell ref="M84:O84"/>
    <mergeCell ref="A52:A53"/>
    <mergeCell ref="A82:C82"/>
    <mergeCell ref="D82:F82"/>
    <mergeCell ref="G82:I82"/>
    <mergeCell ref="J82:L82"/>
    <mergeCell ref="M82:O82"/>
    <mergeCell ref="A83:C83"/>
    <mergeCell ref="D83:F83"/>
    <mergeCell ref="G83:I83"/>
    <mergeCell ref="J83:L83"/>
    <mergeCell ref="M83:O83"/>
    <mergeCell ref="A80:C80"/>
    <mergeCell ref="D80:F80"/>
    <mergeCell ref="G80:I80"/>
    <mergeCell ref="J80:L80"/>
    <mergeCell ref="M80:O80"/>
    <mergeCell ref="A81:C81"/>
    <mergeCell ref="D81:F81"/>
    <mergeCell ref="G81:I81"/>
    <mergeCell ref="J81:L81"/>
    <mergeCell ref="M81:O81"/>
    <mergeCell ref="A78:C78"/>
    <mergeCell ref="D78:F78"/>
    <mergeCell ref="G78:I78"/>
    <mergeCell ref="J78:L78"/>
    <mergeCell ref="M78:O78"/>
    <mergeCell ref="A79:C79"/>
    <mergeCell ref="D79:F79"/>
    <mergeCell ref="G79:I79"/>
    <mergeCell ref="J79:L79"/>
    <mergeCell ref="M79:O79"/>
    <mergeCell ref="A76:C76"/>
    <mergeCell ref="D76:F76"/>
    <mergeCell ref="G76:I76"/>
    <mergeCell ref="J76:L76"/>
    <mergeCell ref="M76:O76"/>
    <mergeCell ref="A77:C77"/>
    <mergeCell ref="G77:I77"/>
    <mergeCell ref="J77:L77"/>
    <mergeCell ref="M77:O77"/>
    <mergeCell ref="A74:C74"/>
    <mergeCell ref="D74:F74"/>
    <mergeCell ref="G74:I74"/>
    <mergeCell ref="J74:L74"/>
    <mergeCell ref="M74:O74"/>
    <mergeCell ref="A75:C75"/>
    <mergeCell ref="D75:F75"/>
    <mergeCell ref="G75:I75"/>
    <mergeCell ref="J75:L75"/>
    <mergeCell ref="M75:O75"/>
    <mergeCell ref="A72:C72"/>
    <mergeCell ref="D72:F72"/>
    <mergeCell ref="G72:I72"/>
    <mergeCell ref="J72:L72"/>
    <mergeCell ref="M72:O72"/>
    <mergeCell ref="A73:C73"/>
    <mergeCell ref="D73:F73"/>
    <mergeCell ref="G73:I73"/>
    <mergeCell ref="J73:L73"/>
    <mergeCell ref="M73:O73"/>
    <mergeCell ref="A68:O68"/>
    <mergeCell ref="A70:C70"/>
    <mergeCell ref="D70:F70"/>
    <mergeCell ref="G70:I70"/>
    <mergeCell ref="J70:L70"/>
    <mergeCell ref="M70:O70"/>
    <mergeCell ref="A71:C71"/>
    <mergeCell ref="D71:F71"/>
    <mergeCell ref="G71:I71"/>
    <mergeCell ref="J71:L71"/>
    <mergeCell ref="M71:O71"/>
    <mergeCell ref="B65:C65"/>
    <mergeCell ref="D65:E65"/>
    <mergeCell ref="F65:G65"/>
    <mergeCell ref="H65:J65"/>
    <mergeCell ref="K65:L65"/>
    <mergeCell ref="M65:O65"/>
    <mergeCell ref="B66:C66"/>
    <mergeCell ref="D66:E66"/>
    <mergeCell ref="F66:G66"/>
    <mergeCell ref="H66:J66"/>
    <mergeCell ref="K66:L66"/>
    <mergeCell ref="M66:O66"/>
    <mergeCell ref="B63:C63"/>
    <mergeCell ref="D63:E63"/>
    <mergeCell ref="F63:G63"/>
    <mergeCell ref="H63:J63"/>
    <mergeCell ref="K63:L63"/>
    <mergeCell ref="M63:O63"/>
    <mergeCell ref="B64:C64"/>
    <mergeCell ref="D64:E64"/>
    <mergeCell ref="F64:G64"/>
    <mergeCell ref="H64:J64"/>
    <mergeCell ref="K64:L64"/>
    <mergeCell ref="M64:O64"/>
    <mergeCell ref="B61:C61"/>
    <mergeCell ref="D61:E61"/>
    <mergeCell ref="F61:G61"/>
    <mergeCell ref="H61:J61"/>
    <mergeCell ref="K61:L61"/>
    <mergeCell ref="M61:O61"/>
    <mergeCell ref="B62:C62"/>
    <mergeCell ref="D62:E62"/>
    <mergeCell ref="F62:G62"/>
    <mergeCell ref="H62:J62"/>
    <mergeCell ref="K62:L62"/>
    <mergeCell ref="M62:O62"/>
    <mergeCell ref="B48:E48"/>
    <mergeCell ref="F48:O48"/>
    <mergeCell ref="A50:J50"/>
    <mergeCell ref="B52:C52"/>
    <mergeCell ref="D52:F52"/>
    <mergeCell ref="G52:I52"/>
    <mergeCell ref="J52:L52"/>
    <mergeCell ref="M52:O52"/>
    <mergeCell ref="A59:O59"/>
    <mergeCell ref="B43:E43"/>
    <mergeCell ref="F43:O43"/>
    <mergeCell ref="B44:E44"/>
    <mergeCell ref="F44:O44"/>
    <mergeCell ref="B45:E45"/>
    <mergeCell ref="F45:O45"/>
    <mergeCell ref="B46:E46"/>
    <mergeCell ref="F46:O46"/>
    <mergeCell ref="B47:E47"/>
    <mergeCell ref="F47:O47"/>
    <mergeCell ref="A35:O35"/>
    <mergeCell ref="A37:O37"/>
    <mergeCell ref="B39:E39"/>
    <mergeCell ref="F39:O39"/>
    <mergeCell ref="B40:E40"/>
    <mergeCell ref="F40:O40"/>
    <mergeCell ref="B41:E41"/>
    <mergeCell ref="F41:O41"/>
    <mergeCell ref="B42:E42"/>
    <mergeCell ref="F42:O42"/>
    <mergeCell ref="A32:C32"/>
    <mergeCell ref="D32:E32"/>
    <mergeCell ref="F32:G32"/>
    <mergeCell ref="H32:I32"/>
    <mergeCell ref="J32:K32"/>
    <mergeCell ref="L32:M32"/>
    <mergeCell ref="N32:O32"/>
    <mergeCell ref="A33:C33"/>
    <mergeCell ref="D33:E33"/>
    <mergeCell ref="F33:G33"/>
    <mergeCell ref="H33:I33"/>
    <mergeCell ref="J33:K33"/>
    <mergeCell ref="L33:M33"/>
    <mergeCell ref="N33:O33"/>
    <mergeCell ref="A30:K30"/>
    <mergeCell ref="L30:M30"/>
    <mergeCell ref="N30:O30"/>
    <mergeCell ref="A31:C31"/>
    <mergeCell ref="D31:E31"/>
    <mergeCell ref="F31:G31"/>
    <mergeCell ref="H31:I31"/>
    <mergeCell ref="J31:K31"/>
    <mergeCell ref="L31:M31"/>
    <mergeCell ref="N31:O31"/>
    <mergeCell ref="A28:C28"/>
    <mergeCell ref="D28:E28"/>
    <mergeCell ref="F28:G28"/>
    <mergeCell ref="H28:I28"/>
    <mergeCell ref="J28:K28"/>
    <mergeCell ref="L28:M28"/>
    <mergeCell ref="N28:O28"/>
    <mergeCell ref="A29:C29"/>
    <mergeCell ref="D29:E29"/>
    <mergeCell ref="F29:G29"/>
    <mergeCell ref="H29:I29"/>
    <mergeCell ref="J29:K29"/>
    <mergeCell ref="L29:M29"/>
    <mergeCell ref="N29:O29"/>
    <mergeCell ref="A26:K26"/>
    <mergeCell ref="L26:M26"/>
    <mergeCell ref="N26:O26"/>
    <mergeCell ref="A27:C27"/>
    <mergeCell ref="D27:E27"/>
    <mergeCell ref="F27:G27"/>
    <mergeCell ref="H27:I27"/>
    <mergeCell ref="J27:K27"/>
    <mergeCell ref="L27:M27"/>
    <mergeCell ref="N27:O27"/>
    <mergeCell ref="A24:C24"/>
    <mergeCell ref="D24:E24"/>
    <mergeCell ref="F24:G24"/>
    <mergeCell ref="H24:I24"/>
    <mergeCell ref="J24:K24"/>
    <mergeCell ref="L24:M24"/>
    <mergeCell ref="N24:O24"/>
    <mergeCell ref="A25:C25"/>
    <mergeCell ref="D25:E25"/>
    <mergeCell ref="F25:G25"/>
    <mergeCell ref="H25:I25"/>
    <mergeCell ref="J25:K25"/>
    <mergeCell ref="L25:M25"/>
    <mergeCell ref="N25:O25"/>
    <mergeCell ref="A22:K22"/>
    <mergeCell ref="L22:M22"/>
    <mergeCell ref="N22:O22"/>
    <mergeCell ref="A23:C23"/>
    <mergeCell ref="D23:E23"/>
    <mergeCell ref="F23:G23"/>
    <mergeCell ref="H23:I23"/>
    <mergeCell ref="J23:K23"/>
    <mergeCell ref="L23:M23"/>
    <mergeCell ref="N23:O23"/>
    <mergeCell ref="A20:C20"/>
    <mergeCell ref="D20:E20"/>
    <mergeCell ref="F20:G20"/>
    <mergeCell ref="H20:I20"/>
    <mergeCell ref="J20:K20"/>
    <mergeCell ref="L20:M20"/>
    <mergeCell ref="N20:O20"/>
    <mergeCell ref="A21:C21"/>
    <mergeCell ref="D21:E21"/>
    <mergeCell ref="F21:G21"/>
    <mergeCell ref="H21:I21"/>
    <mergeCell ref="J21:K21"/>
    <mergeCell ref="L21:M21"/>
    <mergeCell ref="N21:O21"/>
    <mergeCell ref="A18:K18"/>
    <mergeCell ref="L18:M18"/>
    <mergeCell ref="N18:O18"/>
    <mergeCell ref="A19:C19"/>
    <mergeCell ref="D19:E19"/>
    <mergeCell ref="F19:G19"/>
    <mergeCell ref="H19:I19"/>
    <mergeCell ref="J19:K19"/>
    <mergeCell ref="L19:M19"/>
    <mergeCell ref="N19:O19"/>
    <mergeCell ref="A16:C16"/>
    <mergeCell ref="D16:E16"/>
    <mergeCell ref="F16:G16"/>
    <mergeCell ref="H16:I16"/>
    <mergeCell ref="J16:K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A14:C14"/>
    <mergeCell ref="D14:E14"/>
    <mergeCell ref="F14:G14"/>
    <mergeCell ref="H14:I14"/>
    <mergeCell ref="J14:K14"/>
    <mergeCell ref="L14:M14"/>
    <mergeCell ref="N14:O14"/>
    <mergeCell ref="A15:C15"/>
    <mergeCell ref="D15:E15"/>
    <mergeCell ref="F15:G15"/>
    <mergeCell ref="H15:I15"/>
    <mergeCell ref="J15:K15"/>
    <mergeCell ref="L15:M15"/>
    <mergeCell ref="N15:O15"/>
    <mergeCell ref="A12:C12"/>
    <mergeCell ref="D12:E12"/>
    <mergeCell ref="F12:G12"/>
    <mergeCell ref="H12:I12"/>
    <mergeCell ref="J12:K12"/>
    <mergeCell ref="L12:M12"/>
    <mergeCell ref="N12:O12"/>
    <mergeCell ref="A13:C13"/>
    <mergeCell ref="D13:E13"/>
    <mergeCell ref="F13:G13"/>
    <mergeCell ref="H13:I13"/>
    <mergeCell ref="J13:K13"/>
    <mergeCell ref="L13:M13"/>
    <mergeCell ref="N13:O13"/>
    <mergeCell ref="A10:C10"/>
    <mergeCell ref="D10:E10"/>
    <mergeCell ref="F10:G10"/>
    <mergeCell ref="H10:I10"/>
    <mergeCell ref="J10:K10"/>
    <mergeCell ref="L10:M10"/>
    <mergeCell ref="N10:O10"/>
    <mergeCell ref="A11:K11"/>
    <mergeCell ref="L11:M11"/>
    <mergeCell ref="N11:O11"/>
    <mergeCell ref="A1:O1"/>
    <mergeCell ref="A2:O2"/>
    <mergeCell ref="A3:O3"/>
    <mergeCell ref="A4:O4"/>
    <mergeCell ref="A5:O5"/>
    <mergeCell ref="A6:O6"/>
    <mergeCell ref="A7:O7"/>
    <mergeCell ref="A9:C9"/>
    <mergeCell ref="D9:E9"/>
    <mergeCell ref="F9:G9"/>
    <mergeCell ref="H9:I9"/>
    <mergeCell ref="J9:K9"/>
    <mergeCell ref="L9:M9"/>
    <mergeCell ref="N9:O9"/>
  </mergeCells>
  <pageMargins left="1.1812499999999999" right="0.39374999999999999" top="0.78749999999999998" bottom="0.78749999999999998" header="0.51180555555555496" footer="0.51180555555555496"/>
  <pageSetup paperSize="9" scale="44" firstPageNumber="0" orientation="landscape" useFirstPageNumber="1" horizontalDpi="300" verticalDpi="30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W64"/>
  <sheetViews>
    <sheetView topLeftCell="A25" zoomScale="60" zoomScaleNormal="60" workbookViewId="0">
      <selection activeCell="V62" sqref="V62:X62"/>
    </sheetView>
  </sheetViews>
  <sheetFormatPr defaultColWidth="9" defaultRowHeight="18.75"/>
  <cols>
    <col min="1" max="1" width="4.42578125" style="39" customWidth="1"/>
    <col min="2" max="2" width="28.85546875" style="39" customWidth="1"/>
    <col min="3" max="6" width="11.140625" style="39" customWidth="1"/>
    <col min="7" max="31" width="11" style="39" customWidth="1"/>
    <col min="32" max="257" width="9.140625" style="39" customWidth="1"/>
    <col min="258" max="1025" width="9.140625" customWidth="1"/>
  </cols>
  <sheetData>
    <row r="1" spans="1:31" ht="18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Q1" s="72"/>
      <c r="R1" s="72"/>
      <c r="S1" s="72"/>
      <c r="T1" s="72"/>
      <c r="U1" s="72"/>
      <c r="AB1" s="389"/>
      <c r="AC1" s="389"/>
      <c r="AD1" s="389"/>
      <c r="AE1" s="389"/>
    </row>
    <row r="2" spans="1:31" ht="18.75" customHeight="1">
      <c r="B2" s="33" t="s">
        <v>585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ht="18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ht="18.75" customHeight="1">
      <c r="A4" s="356" t="s">
        <v>586</v>
      </c>
      <c r="B4" s="356" t="s">
        <v>587</v>
      </c>
      <c r="C4" s="352" t="s">
        <v>588</v>
      </c>
      <c r="D4" s="352"/>
      <c r="E4" s="352"/>
      <c r="F4" s="352"/>
      <c r="G4" s="352" t="s">
        <v>589</v>
      </c>
      <c r="H4" s="352"/>
      <c r="I4" s="352"/>
      <c r="J4" s="352"/>
      <c r="K4" s="352"/>
      <c r="L4" s="352"/>
      <c r="M4" s="352" t="s">
        <v>590</v>
      </c>
      <c r="N4" s="352"/>
      <c r="O4" s="352"/>
      <c r="P4" s="352"/>
      <c r="Q4" s="354" t="s">
        <v>591</v>
      </c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</row>
    <row r="5" spans="1:31" ht="48.75" customHeight="1">
      <c r="A5" s="356"/>
      <c r="B5" s="356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 t="s">
        <v>592</v>
      </c>
      <c r="R5" s="352"/>
      <c r="S5" s="352"/>
      <c r="T5" s="352" t="s">
        <v>593</v>
      </c>
      <c r="U5" s="352"/>
      <c r="V5" s="352"/>
      <c r="W5" s="352" t="s">
        <v>144</v>
      </c>
      <c r="X5" s="352"/>
      <c r="Y5" s="352"/>
      <c r="Z5" s="354" t="s">
        <v>594</v>
      </c>
      <c r="AA5" s="354"/>
      <c r="AB5" s="354"/>
      <c r="AC5" s="354" t="s">
        <v>287</v>
      </c>
      <c r="AD5" s="354"/>
      <c r="AE5" s="354"/>
    </row>
    <row r="6" spans="1:31" ht="18" customHeight="1">
      <c r="A6" s="45">
        <v>1</v>
      </c>
      <c r="B6" s="46">
        <v>2</v>
      </c>
      <c r="C6" s="390">
        <v>3</v>
      </c>
      <c r="D6" s="390"/>
      <c r="E6" s="390"/>
      <c r="F6" s="390"/>
      <c r="G6" s="390">
        <v>4</v>
      </c>
      <c r="H6" s="390"/>
      <c r="I6" s="390"/>
      <c r="J6" s="390"/>
      <c r="K6" s="390"/>
      <c r="L6" s="390"/>
      <c r="M6" s="390">
        <v>5</v>
      </c>
      <c r="N6" s="390"/>
      <c r="O6" s="390"/>
      <c r="P6" s="390"/>
      <c r="Q6" s="390">
        <v>6</v>
      </c>
      <c r="R6" s="390"/>
      <c r="S6" s="390"/>
      <c r="T6" s="390">
        <v>7</v>
      </c>
      <c r="U6" s="390"/>
      <c r="V6" s="390"/>
      <c r="W6" s="391">
        <v>8</v>
      </c>
      <c r="X6" s="391"/>
      <c r="Y6" s="391"/>
      <c r="Z6" s="391">
        <v>9</v>
      </c>
      <c r="AA6" s="391"/>
      <c r="AB6" s="391"/>
      <c r="AC6" s="391">
        <v>10</v>
      </c>
      <c r="AD6" s="391"/>
      <c r="AE6" s="391"/>
    </row>
    <row r="7" spans="1:31" ht="20.100000000000001" customHeight="1">
      <c r="A7" s="45"/>
      <c r="B7" s="47"/>
      <c r="C7" s="392"/>
      <c r="D7" s="392"/>
      <c r="E7" s="392"/>
      <c r="F7" s="392"/>
      <c r="G7" s="393"/>
      <c r="H7" s="393"/>
      <c r="I7" s="393"/>
      <c r="J7" s="393"/>
      <c r="K7" s="393"/>
      <c r="L7" s="393"/>
      <c r="M7" s="390">
        <f>SUM(Q7,T7,W7,Z7,AC7)</f>
        <v>0</v>
      </c>
      <c r="N7" s="390"/>
      <c r="O7" s="390"/>
      <c r="P7" s="390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</row>
    <row r="8" spans="1:31" ht="20.100000000000001" customHeight="1">
      <c r="A8" s="45"/>
      <c r="B8" s="47"/>
      <c r="C8" s="392"/>
      <c r="D8" s="392"/>
      <c r="E8" s="392"/>
      <c r="F8" s="392"/>
      <c r="G8" s="393"/>
      <c r="H8" s="393"/>
      <c r="I8" s="393"/>
      <c r="J8" s="393"/>
      <c r="K8" s="393"/>
      <c r="L8" s="393"/>
      <c r="M8" s="390">
        <f>SUM(Q8,T8,W8,Z8,AC8)</f>
        <v>0</v>
      </c>
      <c r="N8" s="390"/>
      <c r="O8" s="390"/>
      <c r="P8" s="390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</row>
    <row r="9" spans="1:31" ht="20.100000000000001" customHeight="1">
      <c r="A9" s="45"/>
      <c r="B9" s="47"/>
      <c r="C9" s="392"/>
      <c r="D9" s="392"/>
      <c r="E9" s="392"/>
      <c r="F9" s="392"/>
      <c r="G9" s="393"/>
      <c r="H9" s="393"/>
      <c r="I9" s="393"/>
      <c r="J9" s="393"/>
      <c r="K9" s="393"/>
      <c r="L9" s="393"/>
      <c r="M9" s="390">
        <f>SUM(Q9,T9,W9,Z9,AC9)</f>
        <v>0</v>
      </c>
      <c r="N9" s="390"/>
      <c r="O9" s="390"/>
      <c r="P9" s="390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</row>
    <row r="10" spans="1:31" ht="20.100000000000001" customHeight="1">
      <c r="A10" s="356" t="s">
        <v>314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2">
        <f>SUM(M7:P9)</f>
        <v>0</v>
      </c>
      <c r="N10" s="352"/>
      <c r="O10" s="352"/>
      <c r="P10" s="352"/>
      <c r="Q10" s="352">
        <f>SUM(Q7:S9)</f>
        <v>0</v>
      </c>
      <c r="R10" s="352"/>
      <c r="S10" s="352"/>
      <c r="T10" s="352">
        <f>SUM(T7:V9)</f>
        <v>0</v>
      </c>
      <c r="U10" s="352"/>
      <c r="V10" s="352"/>
      <c r="W10" s="352">
        <f>SUM(W7:Y9)</f>
        <v>0</v>
      </c>
      <c r="X10" s="352"/>
      <c r="Y10" s="352"/>
      <c r="Z10" s="352">
        <f>SUM(Z7:AB9)</f>
        <v>0</v>
      </c>
      <c r="AA10" s="352"/>
      <c r="AB10" s="352"/>
      <c r="AC10" s="352">
        <f>SUM(AC7:AE9)</f>
        <v>0</v>
      </c>
      <c r="AD10" s="352"/>
      <c r="AE10" s="352"/>
    </row>
    <row r="11" spans="1:31" ht="18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68"/>
      <c r="N11" s="68"/>
      <c r="O11" s="68"/>
      <c r="P11" s="68"/>
      <c r="Q11" s="73"/>
      <c r="R11" s="73"/>
      <c r="S11" s="73"/>
      <c r="T11" s="73"/>
      <c r="U11" s="73"/>
      <c r="V11" s="73"/>
      <c r="W11" s="74"/>
      <c r="X11" s="74"/>
      <c r="Y11" s="74"/>
      <c r="Z11" s="74"/>
      <c r="AA11" s="74"/>
      <c r="AB11" s="74"/>
      <c r="AC11" s="74"/>
      <c r="AD11" s="74"/>
      <c r="AE11" s="74"/>
    </row>
    <row r="12" spans="1:31" s="33" customFormat="1" ht="18.75" customHeight="1">
      <c r="B12" s="33" t="s">
        <v>595</v>
      </c>
    </row>
    <row r="13" spans="1:31" s="33" customFormat="1" ht="18.75" customHeight="1"/>
    <row r="14" spans="1:31" ht="18.75" customHeight="1">
      <c r="A14" s="356" t="s">
        <v>586</v>
      </c>
      <c r="B14" s="356" t="s">
        <v>596</v>
      </c>
      <c r="C14" s="352" t="s">
        <v>587</v>
      </c>
      <c r="D14" s="352"/>
      <c r="E14" s="352"/>
      <c r="F14" s="352"/>
      <c r="G14" s="352" t="s">
        <v>589</v>
      </c>
      <c r="H14" s="352"/>
      <c r="I14" s="352"/>
      <c r="J14" s="352"/>
      <c r="K14" s="352"/>
      <c r="L14" s="352"/>
      <c r="M14" s="352"/>
      <c r="N14" s="352"/>
      <c r="O14" s="352"/>
      <c r="P14" s="352"/>
      <c r="Q14" s="352" t="s">
        <v>597</v>
      </c>
      <c r="R14" s="352"/>
      <c r="S14" s="352"/>
      <c r="T14" s="352"/>
      <c r="U14" s="352"/>
      <c r="V14" s="354" t="s">
        <v>598</v>
      </c>
      <c r="W14" s="354"/>
      <c r="X14" s="354"/>
      <c r="Y14" s="354"/>
      <c r="Z14" s="354"/>
      <c r="AA14" s="354"/>
      <c r="AB14" s="354"/>
      <c r="AC14" s="354"/>
      <c r="AD14" s="354"/>
      <c r="AE14" s="354"/>
    </row>
    <row r="15" spans="1:31" ht="18.75" customHeight="1">
      <c r="A15" s="356"/>
      <c r="B15" s="356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4" t="s">
        <v>599</v>
      </c>
      <c r="W15" s="354"/>
      <c r="X15" s="354" t="s">
        <v>600</v>
      </c>
      <c r="Y15" s="354"/>
      <c r="Z15" s="354"/>
      <c r="AA15" s="354"/>
      <c r="AB15" s="354"/>
      <c r="AC15" s="354"/>
      <c r="AD15" s="354"/>
      <c r="AE15" s="354"/>
    </row>
    <row r="16" spans="1:31" ht="18.75" customHeight="1">
      <c r="A16" s="356"/>
      <c r="B16" s="356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4"/>
      <c r="W16" s="354"/>
      <c r="X16" s="354" t="s">
        <v>6</v>
      </c>
      <c r="Y16" s="354"/>
      <c r="Z16" s="354" t="s">
        <v>7</v>
      </c>
      <c r="AA16" s="354"/>
      <c r="AB16" s="354" t="s">
        <v>8</v>
      </c>
      <c r="AC16" s="354"/>
      <c r="AD16" s="354" t="s">
        <v>9</v>
      </c>
      <c r="AE16" s="354"/>
    </row>
    <row r="17" spans="1:31" ht="18" customHeight="1">
      <c r="A17" s="45">
        <v>1</v>
      </c>
      <c r="B17" s="45">
        <v>2</v>
      </c>
      <c r="C17" s="390">
        <v>3</v>
      </c>
      <c r="D17" s="390"/>
      <c r="E17" s="390"/>
      <c r="F17" s="390"/>
      <c r="G17" s="390">
        <v>4</v>
      </c>
      <c r="H17" s="390"/>
      <c r="I17" s="390"/>
      <c r="J17" s="390"/>
      <c r="K17" s="390"/>
      <c r="L17" s="390"/>
      <c r="M17" s="390"/>
      <c r="N17" s="390"/>
      <c r="O17" s="390"/>
      <c r="P17" s="390"/>
      <c r="Q17" s="390">
        <v>5</v>
      </c>
      <c r="R17" s="390"/>
      <c r="S17" s="390"/>
      <c r="T17" s="390"/>
      <c r="U17" s="390"/>
      <c r="V17" s="390">
        <v>6</v>
      </c>
      <c r="W17" s="390"/>
      <c r="X17" s="391">
        <v>7</v>
      </c>
      <c r="Y17" s="391"/>
      <c r="Z17" s="391">
        <v>8</v>
      </c>
      <c r="AA17" s="391"/>
      <c r="AB17" s="391">
        <v>9</v>
      </c>
      <c r="AC17" s="391"/>
      <c r="AD17" s="391">
        <v>10</v>
      </c>
      <c r="AE17" s="391"/>
    </row>
    <row r="18" spans="1:31" ht="20.100000000000001" customHeight="1">
      <c r="A18" s="49"/>
      <c r="B18" s="50"/>
      <c r="C18" s="394"/>
      <c r="D18" s="394"/>
      <c r="E18" s="394"/>
      <c r="F18" s="394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6"/>
      <c r="R18" s="396"/>
      <c r="S18" s="396"/>
      <c r="T18" s="396"/>
      <c r="U18" s="396"/>
      <c r="V18" s="390">
        <f>AD18</f>
        <v>0</v>
      </c>
      <c r="W18" s="390"/>
      <c r="X18" s="390"/>
      <c r="Y18" s="390"/>
      <c r="Z18" s="390"/>
      <c r="AA18" s="390"/>
      <c r="AB18" s="390"/>
      <c r="AC18" s="390"/>
      <c r="AD18" s="390"/>
      <c r="AE18" s="390"/>
    </row>
    <row r="19" spans="1:31" ht="20.100000000000001" customHeight="1">
      <c r="A19" s="49"/>
      <c r="B19" s="50"/>
      <c r="C19" s="394"/>
      <c r="D19" s="394"/>
      <c r="E19" s="394"/>
      <c r="F19" s="394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6"/>
      <c r="R19" s="396"/>
      <c r="S19" s="396"/>
      <c r="T19" s="396"/>
      <c r="U19" s="396"/>
      <c r="V19" s="390">
        <f>AD19</f>
        <v>0</v>
      </c>
      <c r="W19" s="390"/>
      <c r="X19" s="390"/>
      <c r="Y19" s="390"/>
      <c r="Z19" s="390"/>
      <c r="AA19" s="390"/>
      <c r="AB19" s="390"/>
      <c r="AC19" s="390"/>
      <c r="AD19" s="390"/>
      <c r="AE19" s="390"/>
    </row>
    <row r="20" spans="1:31" ht="20.100000000000001" customHeight="1">
      <c r="A20" s="49"/>
      <c r="B20" s="50"/>
      <c r="C20" s="394"/>
      <c r="D20" s="394"/>
      <c r="E20" s="394"/>
      <c r="F20" s="394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6"/>
      <c r="R20" s="396"/>
      <c r="S20" s="396"/>
      <c r="T20" s="396"/>
      <c r="U20" s="396"/>
      <c r="V20" s="390">
        <f>AD20</f>
        <v>0</v>
      </c>
      <c r="W20" s="390"/>
      <c r="X20" s="390"/>
      <c r="Y20" s="390"/>
      <c r="Z20" s="390"/>
      <c r="AA20" s="390"/>
      <c r="AB20" s="390"/>
      <c r="AC20" s="390"/>
      <c r="AD20" s="390"/>
      <c r="AE20" s="390"/>
    </row>
    <row r="21" spans="1:31" ht="20.100000000000001" customHeight="1">
      <c r="A21" s="356" t="s">
        <v>314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90">
        <f>AD21</f>
        <v>0</v>
      </c>
      <c r="W21" s="390"/>
      <c r="X21" s="352">
        <f>SUM(X18:Y20)</f>
        <v>0</v>
      </c>
      <c r="Y21" s="352"/>
      <c r="Z21" s="352">
        <f>SUM(Z18:AA20)</f>
        <v>0</v>
      </c>
      <c r="AA21" s="352"/>
      <c r="AB21" s="352">
        <f>SUM(AB18:AC20)</f>
        <v>0</v>
      </c>
      <c r="AC21" s="352"/>
      <c r="AD21" s="352">
        <f>SUM(AD18:AE20)</f>
        <v>0</v>
      </c>
      <c r="AE21" s="352"/>
    </row>
    <row r="22" spans="1:31" ht="18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Q22" s="72"/>
      <c r="R22" s="72"/>
      <c r="S22" s="72"/>
      <c r="T22" s="72"/>
      <c r="U22" s="72"/>
      <c r="AE22" s="72"/>
    </row>
    <row r="23" spans="1:31" ht="18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Q23" s="72"/>
      <c r="R23" s="72"/>
      <c r="S23" s="72"/>
      <c r="T23" s="72"/>
      <c r="U23" s="72"/>
      <c r="AE23" s="72"/>
    </row>
    <row r="24" spans="1:31" s="33" customFormat="1" ht="18.75" customHeight="1">
      <c r="B24" s="33" t="s">
        <v>601</v>
      </c>
    </row>
    <row r="25" spans="1:31" ht="18.75" customHeight="1">
      <c r="A25" s="51"/>
      <c r="B25" s="51"/>
      <c r="C25" s="51"/>
      <c r="D25" s="51"/>
      <c r="E25" s="51"/>
      <c r="F25" s="51"/>
      <c r="G25" s="51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1"/>
      <c r="AD25" s="77" t="s">
        <v>602</v>
      </c>
    </row>
    <row r="26" spans="1:31" ht="30" customHeight="1">
      <c r="A26" s="352" t="s">
        <v>586</v>
      </c>
      <c r="B26" s="352" t="s">
        <v>603</v>
      </c>
      <c r="C26" s="352"/>
      <c r="D26" s="352"/>
      <c r="E26" s="352"/>
      <c r="F26" s="352"/>
      <c r="G26" s="352" t="s">
        <v>604</v>
      </c>
      <c r="H26" s="352"/>
      <c r="I26" s="352"/>
      <c r="J26" s="352"/>
      <c r="K26" s="352" t="s">
        <v>605</v>
      </c>
      <c r="L26" s="352"/>
      <c r="M26" s="352"/>
      <c r="N26" s="352"/>
      <c r="O26" s="352" t="s">
        <v>606</v>
      </c>
      <c r="P26" s="352"/>
      <c r="Q26" s="352"/>
      <c r="R26" s="352"/>
      <c r="S26" s="352" t="s">
        <v>607</v>
      </c>
      <c r="T26" s="352"/>
      <c r="U26" s="352"/>
      <c r="V26" s="352"/>
      <c r="W26" s="352" t="s">
        <v>314</v>
      </c>
      <c r="X26" s="352"/>
      <c r="Y26" s="352"/>
      <c r="Z26" s="352"/>
    </row>
    <row r="27" spans="1:31" ht="30" customHeight="1">
      <c r="A27" s="352"/>
      <c r="B27" s="352"/>
      <c r="C27" s="352"/>
      <c r="D27" s="352"/>
      <c r="E27" s="352"/>
      <c r="F27" s="352"/>
      <c r="G27" s="352" t="s">
        <v>600</v>
      </c>
      <c r="H27" s="352"/>
      <c r="I27" s="352"/>
      <c r="J27" s="352"/>
      <c r="K27" s="352" t="s">
        <v>600</v>
      </c>
      <c r="L27" s="352"/>
      <c r="M27" s="352"/>
      <c r="N27" s="352"/>
      <c r="O27" s="352" t="s">
        <v>600</v>
      </c>
      <c r="P27" s="352"/>
      <c r="Q27" s="352"/>
      <c r="R27" s="352"/>
      <c r="S27" s="352" t="s">
        <v>600</v>
      </c>
      <c r="T27" s="352"/>
      <c r="U27" s="352"/>
      <c r="V27" s="352"/>
      <c r="W27" s="352" t="s">
        <v>600</v>
      </c>
      <c r="X27" s="352"/>
      <c r="Y27" s="352"/>
      <c r="Z27" s="352"/>
    </row>
    <row r="28" spans="1:31" ht="39.950000000000003" customHeight="1">
      <c r="A28" s="352"/>
      <c r="B28" s="352"/>
      <c r="C28" s="352"/>
      <c r="D28" s="352"/>
      <c r="E28" s="352"/>
      <c r="F28" s="352"/>
      <c r="G28" s="44" t="s">
        <v>608</v>
      </c>
      <c r="H28" s="44" t="s">
        <v>7</v>
      </c>
      <c r="I28" s="44" t="s">
        <v>8</v>
      </c>
      <c r="J28" s="44" t="s">
        <v>9</v>
      </c>
      <c r="K28" s="44" t="s">
        <v>608</v>
      </c>
      <c r="L28" s="44" t="s">
        <v>7</v>
      </c>
      <c r="M28" s="44" t="s">
        <v>8</v>
      </c>
      <c r="N28" s="44" t="s">
        <v>9</v>
      </c>
      <c r="O28" s="44" t="s">
        <v>608</v>
      </c>
      <c r="P28" s="44" t="s">
        <v>7</v>
      </c>
      <c r="Q28" s="44" t="s">
        <v>8</v>
      </c>
      <c r="R28" s="44" t="s">
        <v>9</v>
      </c>
      <c r="S28" s="44" t="s">
        <v>608</v>
      </c>
      <c r="T28" s="44" t="s">
        <v>7</v>
      </c>
      <c r="U28" s="44" t="s">
        <v>8</v>
      </c>
      <c r="V28" s="44" t="s">
        <v>9</v>
      </c>
      <c r="W28" s="44" t="s">
        <v>608</v>
      </c>
      <c r="X28" s="44" t="s">
        <v>7</v>
      </c>
      <c r="Y28" s="44" t="s">
        <v>8</v>
      </c>
      <c r="Z28" s="44" t="s">
        <v>9</v>
      </c>
    </row>
    <row r="29" spans="1:31" ht="18" customHeight="1">
      <c r="A29" s="44">
        <v>1</v>
      </c>
      <c r="B29" s="352">
        <v>2</v>
      </c>
      <c r="C29" s="352"/>
      <c r="D29" s="352"/>
      <c r="E29" s="352"/>
      <c r="F29" s="352"/>
      <c r="G29" s="44">
        <v>3</v>
      </c>
      <c r="H29" s="53">
        <v>4</v>
      </c>
      <c r="I29" s="44">
        <v>5</v>
      </c>
      <c r="J29" s="44">
        <v>6</v>
      </c>
      <c r="K29" s="44">
        <v>7</v>
      </c>
      <c r="L29" s="44">
        <v>8</v>
      </c>
      <c r="M29" s="44">
        <v>9</v>
      </c>
      <c r="N29" s="44">
        <v>10</v>
      </c>
      <c r="O29" s="44">
        <v>11</v>
      </c>
      <c r="P29" s="44">
        <v>12</v>
      </c>
      <c r="Q29" s="44">
        <v>13</v>
      </c>
      <c r="R29" s="44">
        <v>14</v>
      </c>
      <c r="S29" s="44">
        <v>15</v>
      </c>
      <c r="T29" s="44">
        <v>16</v>
      </c>
      <c r="U29" s="44">
        <v>17</v>
      </c>
      <c r="V29" s="44">
        <v>18</v>
      </c>
      <c r="W29" s="44">
        <v>19</v>
      </c>
      <c r="X29" s="44">
        <v>20</v>
      </c>
      <c r="Y29" s="44">
        <v>21</v>
      </c>
      <c r="Z29" s="61">
        <v>22</v>
      </c>
    </row>
    <row r="30" spans="1:31" ht="21" customHeight="1">
      <c r="A30" s="54">
        <v>1</v>
      </c>
      <c r="B30" s="379" t="s">
        <v>609</v>
      </c>
      <c r="C30" s="379"/>
      <c r="D30" s="379"/>
      <c r="E30" s="379"/>
      <c r="F30" s="379"/>
      <c r="G30" s="56"/>
      <c r="H30" s="56"/>
      <c r="I30" s="56"/>
      <c r="J30" s="56"/>
      <c r="K30" s="56">
        <f>SUM(K31:K36)</f>
        <v>0</v>
      </c>
      <c r="L30" s="56">
        <f>SUM(L31:L36)</f>
        <v>0</v>
      </c>
      <c r="M30" s="56">
        <f>SUM(M31:M36)</f>
        <v>0</v>
      </c>
      <c r="N30" s="56">
        <f>SUM(N31:N38)</f>
        <v>0</v>
      </c>
      <c r="O30" s="56"/>
      <c r="P30" s="56"/>
      <c r="Q30" s="56"/>
      <c r="R30" s="56"/>
      <c r="S30" s="56"/>
      <c r="T30" s="56"/>
      <c r="U30" s="56"/>
      <c r="V30" s="56"/>
      <c r="W30" s="44">
        <f t="shared" ref="W30:W43" si="0">SUM(G30,K30,O30,S30)</f>
        <v>0</v>
      </c>
      <c r="X30" s="44">
        <f t="shared" ref="X30:X43" si="1">SUM(H30,L30,P30,T30)</f>
        <v>0</v>
      </c>
      <c r="Y30" s="44">
        <f t="shared" ref="Y30:Y43" si="2">SUM(I30,M30,Q30,U30)</f>
        <v>0</v>
      </c>
      <c r="Z30" s="44">
        <f t="shared" ref="Z30:Z43" si="3">SUM(J30,N30,R30,V30)</f>
        <v>0</v>
      </c>
    </row>
    <row r="31" spans="1:31" ht="21" customHeight="1">
      <c r="A31" s="54"/>
      <c r="B31" s="379" t="s">
        <v>610</v>
      </c>
      <c r="C31" s="379"/>
      <c r="D31" s="379"/>
      <c r="E31" s="379"/>
      <c r="F31" s="379"/>
      <c r="G31" s="56"/>
      <c r="H31" s="56"/>
      <c r="I31" s="56"/>
      <c r="J31" s="56"/>
      <c r="K31" s="56"/>
      <c r="L31" s="56" t="s">
        <v>86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44">
        <f t="shared" si="0"/>
        <v>0</v>
      </c>
      <c r="X31" s="44">
        <f t="shared" si="1"/>
        <v>0</v>
      </c>
      <c r="Y31" s="44">
        <f t="shared" si="2"/>
        <v>0</v>
      </c>
      <c r="Z31" s="44">
        <f t="shared" si="3"/>
        <v>0</v>
      </c>
    </row>
    <row r="32" spans="1:31" ht="21" customHeight="1">
      <c r="A32" s="54"/>
      <c r="B32" s="379"/>
      <c r="C32" s="379"/>
      <c r="D32" s="379"/>
      <c r="E32" s="379"/>
      <c r="F32" s="379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44">
        <f t="shared" si="0"/>
        <v>0</v>
      </c>
      <c r="X32" s="44">
        <f t="shared" si="1"/>
        <v>0</v>
      </c>
      <c r="Y32" s="44">
        <f t="shared" si="2"/>
        <v>0</v>
      </c>
      <c r="Z32" s="44">
        <f t="shared" si="3"/>
        <v>0</v>
      </c>
    </row>
    <row r="33" spans="1:30" ht="20.100000000000001" customHeight="1">
      <c r="A33" s="54"/>
      <c r="B33" s="379"/>
      <c r="C33" s="379"/>
      <c r="D33" s="379"/>
      <c r="E33" s="379"/>
      <c r="F33" s="379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44">
        <f t="shared" si="0"/>
        <v>0</v>
      </c>
      <c r="X33" s="44">
        <f t="shared" si="1"/>
        <v>0</v>
      </c>
      <c r="Y33" s="44">
        <f t="shared" si="2"/>
        <v>0</v>
      </c>
      <c r="Z33" s="44">
        <f t="shared" si="3"/>
        <v>0</v>
      </c>
    </row>
    <row r="34" spans="1:30" ht="20.100000000000001" hidden="1" customHeight="1">
      <c r="A34" s="54"/>
      <c r="B34" s="379"/>
      <c r="C34" s="379"/>
      <c r="D34" s="379"/>
      <c r="E34" s="379"/>
      <c r="F34" s="379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44">
        <f t="shared" si="0"/>
        <v>0</v>
      </c>
      <c r="X34" s="44">
        <f t="shared" si="1"/>
        <v>0</v>
      </c>
      <c r="Y34" s="44">
        <f t="shared" si="2"/>
        <v>0</v>
      </c>
      <c r="Z34" s="44">
        <f t="shared" si="3"/>
        <v>0</v>
      </c>
    </row>
    <row r="35" spans="1:30" ht="20.100000000000001" hidden="1" customHeight="1">
      <c r="A35" s="54"/>
      <c r="B35" s="379"/>
      <c r="C35" s="379"/>
      <c r="D35" s="379"/>
      <c r="E35" s="379"/>
      <c r="F35" s="379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44">
        <f t="shared" si="0"/>
        <v>0</v>
      </c>
      <c r="X35" s="44">
        <f t="shared" si="1"/>
        <v>0</v>
      </c>
      <c r="Y35" s="44">
        <f t="shared" si="2"/>
        <v>0</v>
      </c>
      <c r="Z35" s="44">
        <f t="shared" si="3"/>
        <v>0</v>
      </c>
    </row>
    <row r="36" spans="1:30" ht="20.100000000000001" customHeight="1">
      <c r="A36" s="54"/>
      <c r="B36" s="379"/>
      <c r="C36" s="379"/>
      <c r="D36" s="379"/>
      <c r="E36" s="379"/>
      <c r="F36" s="379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44">
        <f t="shared" si="0"/>
        <v>0</v>
      </c>
      <c r="X36" s="44">
        <f t="shared" si="1"/>
        <v>0</v>
      </c>
      <c r="Y36" s="44">
        <f t="shared" si="2"/>
        <v>0</v>
      </c>
      <c r="Z36" s="44">
        <f t="shared" si="3"/>
        <v>0</v>
      </c>
    </row>
    <row r="37" spans="1:30" ht="18.75" customHeight="1">
      <c r="A37" s="54"/>
      <c r="B37" s="379"/>
      <c r="C37" s="379"/>
      <c r="D37" s="379"/>
      <c r="E37" s="379"/>
      <c r="F37" s="379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44">
        <f t="shared" si="0"/>
        <v>0</v>
      </c>
      <c r="X37" s="44">
        <f t="shared" si="1"/>
        <v>0</v>
      </c>
      <c r="Y37" s="44">
        <f t="shared" si="2"/>
        <v>0</v>
      </c>
      <c r="Z37" s="44">
        <f t="shared" si="3"/>
        <v>0</v>
      </c>
    </row>
    <row r="38" spans="1:30" ht="18.75" customHeight="1">
      <c r="A38" s="54"/>
      <c r="B38" s="379"/>
      <c r="C38" s="379"/>
      <c r="D38" s="379"/>
      <c r="E38" s="379"/>
      <c r="F38" s="379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44">
        <f t="shared" si="0"/>
        <v>0</v>
      </c>
      <c r="X38" s="44">
        <f t="shared" si="1"/>
        <v>0</v>
      </c>
      <c r="Y38" s="44">
        <f t="shared" si="2"/>
        <v>0</v>
      </c>
      <c r="Z38" s="44">
        <f t="shared" si="3"/>
        <v>0</v>
      </c>
    </row>
    <row r="39" spans="1:30" ht="18.75" hidden="1" customHeight="1">
      <c r="A39" s="54"/>
      <c r="B39" s="379"/>
      <c r="C39" s="379"/>
      <c r="D39" s="379"/>
      <c r="E39" s="379"/>
      <c r="F39" s="379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44">
        <f t="shared" si="0"/>
        <v>0</v>
      </c>
      <c r="X39" s="44">
        <f t="shared" si="1"/>
        <v>0</v>
      </c>
      <c r="Y39" s="44">
        <f t="shared" si="2"/>
        <v>0</v>
      </c>
      <c r="Z39" s="44">
        <f t="shared" si="3"/>
        <v>0</v>
      </c>
    </row>
    <row r="40" spans="1:30" ht="18.75" hidden="1" customHeight="1">
      <c r="A40" s="54"/>
      <c r="B40" s="379"/>
      <c r="C40" s="379"/>
      <c r="D40" s="379"/>
      <c r="E40" s="379"/>
      <c r="F40" s="379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44">
        <f t="shared" si="0"/>
        <v>0</v>
      </c>
      <c r="X40" s="44">
        <f t="shared" si="1"/>
        <v>0</v>
      </c>
      <c r="Y40" s="44">
        <f t="shared" si="2"/>
        <v>0</v>
      </c>
      <c r="Z40" s="44">
        <f t="shared" si="3"/>
        <v>0</v>
      </c>
    </row>
    <row r="41" spans="1:30" ht="20.100000000000001" customHeight="1">
      <c r="A41" s="54">
        <v>2</v>
      </c>
      <c r="B41" s="379" t="s">
        <v>611</v>
      </c>
      <c r="C41" s="379"/>
      <c r="D41" s="379"/>
      <c r="E41" s="379"/>
      <c r="F41" s="379"/>
      <c r="G41" s="56"/>
      <c r="H41" s="56"/>
      <c r="I41" s="56"/>
      <c r="J41" s="56"/>
      <c r="K41" s="56">
        <f>K42</f>
        <v>0</v>
      </c>
      <c r="L41" s="56">
        <f>L42</f>
        <v>0</v>
      </c>
      <c r="M41" s="56">
        <f>M42</f>
        <v>0</v>
      </c>
      <c r="N41" s="56">
        <f>N42</f>
        <v>0</v>
      </c>
      <c r="O41" s="56"/>
      <c r="P41" s="56"/>
      <c r="Q41" s="56"/>
      <c r="R41" s="56"/>
      <c r="S41" s="56"/>
      <c r="T41" s="56"/>
      <c r="U41" s="56"/>
      <c r="V41" s="56"/>
      <c r="W41" s="44">
        <f t="shared" si="0"/>
        <v>0</v>
      </c>
      <c r="X41" s="44">
        <f t="shared" si="1"/>
        <v>0</v>
      </c>
      <c r="Y41" s="44">
        <f t="shared" si="2"/>
        <v>0</v>
      </c>
      <c r="Z41" s="44">
        <f t="shared" si="3"/>
        <v>0</v>
      </c>
    </row>
    <row r="42" spans="1:30" ht="20.100000000000001" customHeight="1">
      <c r="A42" s="54"/>
      <c r="B42" s="379"/>
      <c r="C42" s="379"/>
      <c r="D42" s="379"/>
      <c r="E42" s="379"/>
      <c r="F42" s="379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44">
        <f t="shared" si="0"/>
        <v>0</v>
      </c>
      <c r="X42" s="44">
        <f t="shared" si="1"/>
        <v>0</v>
      </c>
      <c r="Y42" s="44">
        <f t="shared" si="2"/>
        <v>0</v>
      </c>
      <c r="Z42" s="44">
        <f t="shared" si="3"/>
        <v>0</v>
      </c>
    </row>
    <row r="43" spans="1:30" ht="41.1" customHeight="1">
      <c r="A43" s="57">
        <v>3</v>
      </c>
      <c r="B43" s="379" t="s">
        <v>612</v>
      </c>
      <c r="C43" s="379"/>
      <c r="D43" s="379"/>
      <c r="E43" s="379"/>
      <c r="F43" s="379"/>
      <c r="G43" s="56"/>
      <c r="H43" s="56"/>
      <c r="I43" s="56"/>
      <c r="J43" s="56"/>
      <c r="K43" s="56">
        <v>0</v>
      </c>
      <c r="L43" s="56">
        <v>0</v>
      </c>
      <c r="M43" s="56">
        <v>0</v>
      </c>
      <c r="N43" s="56">
        <v>0</v>
      </c>
      <c r="O43" s="56"/>
      <c r="P43" s="56"/>
      <c r="Q43" s="56"/>
      <c r="R43" s="56"/>
      <c r="S43" s="56"/>
      <c r="T43" s="56"/>
      <c r="U43" s="56"/>
      <c r="V43" s="56"/>
      <c r="W43" s="44">
        <f t="shared" si="0"/>
        <v>0</v>
      </c>
      <c r="X43" s="44">
        <f t="shared" si="1"/>
        <v>0</v>
      </c>
      <c r="Y43" s="44">
        <f t="shared" si="2"/>
        <v>0</v>
      </c>
      <c r="Z43" s="44">
        <f t="shared" si="3"/>
        <v>0</v>
      </c>
    </row>
    <row r="44" spans="1:30" ht="20.100000000000001" customHeight="1">
      <c r="A44" s="397" t="s">
        <v>314</v>
      </c>
      <c r="B44" s="397"/>
      <c r="C44" s="397"/>
      <c r="D44" s="397"/>
      <c r="E44" s="397"/>
      <c r="F44" s="397"/>
      <c r="G44" s="44">
        <f>SUM(G30:G42)</f>
        <v>0</v>
      </c>
      <c r="H44" s="44">
        <f>SUM(H30:H42)</f>
        <v>0</v>
      </c>
      <c r="I44" s="44">
        <f>SUM(I30:I42)</f>
        <v>0</v>
      </c>
      <c r="J44" s="44">
        <f>SUM(J30:J42)</f>
        <v>0</v>
      </c>
      <c r="K44" s="44">
        <f t="shared" ref="K44:Z44" si="4">K30+K41+K43</f>
        <v>0</v>
      </c>
      <c r="L44" s="44">
        <f t="shared" si="4"/>
        <v>0</v>
      </c>
      <c r="M44" s="44">
        <f t="shared" si="4"/>
        <v>0</v>
      </c>
      <c r="N44" s="44">
        <f t="shared" si="4"/>
        <v>0</v>
      </c>
      <c r="O44" s="44">
        <f t="shared" si="4"/>
        <v>0</v>
      </c>
      <c r="P44" s="44">
        <f t="shared" si="4"/>
        <v>0</v>
      </c>
      <c r="Q44" s="44">
        <f t="shared" si="4"/>
        <v>0</v>
      </c>
      <c r="R44" s="44">
        <f t="shared" si="4"/>
        <v>0</v>
      </c>
      <c r="S44" s="44">
        <f t="shared" si="4"/>
        <v>0</v>
      </c>
      <c r="T44" s="44">
        <f t="shared" si="4"/>
        <v>0</v>
      </c>
      <c r="U44" s="44">
        <f t="shared" si="4"/>
        <v>0</v>
      </c>
      <c r="V44" s="44">
        <f t="shared" si="4"/>
        <v>0</v>
      </c>
      <c r="W44" s="44">
        <f t="shared" si="4"/>
        <v>0</v>
      </c>
      <c r="X44" s="44">
        <f t="shared" si="4"/>
        <v>0</v>
      </c>
      <c r="Y44" s="44">
        <f t="shared" si="4"/>
        <v>0</v>
      </c>
      <c r="Z44" s="44">
        <f t="shared" si="4"/>
        <v>0</v>
      </c>
    </row>
    <row r="45" spans="1:30" ht="20.100000000000001" customHeight="1">
      <c r="A45" s="398" t="s">
        <v>613</v>
      </c>
      <c r="B45" s="398"/>
      <c r="C45" s="398"/>
      <c r="D45" s="398"/>
      <c r="E45" s="398"/>
      <c r="F45" s="398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30" ht="20.100000000000001" customHeight="1">
      <c r="A46" s="59"/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59"/>
      <c r="T46" s="59"/>
      <c r="U46" s="59"/>
      <c r="V46" s="59"/>
      <c r="W46" s="60"/>
      <c r="X46" s="59"/>
      <c r="Y46" s="59"/>
      <c r="Z46" s="59"/>
      <c r="AA46" s="59"/>
    </row>
    <row r="47" spans="1:30" s="33" customFormat="1" ht="20.100000000000001" customHeight="1">
      <c r="B47" s="33" t="s">
        <v>614</v>
      </c>
    </row>
    <row r="48" spans="1:30" s="34" customFormat="1" ht="20.100000000000001" customHeight="1">
      <c r="A48" s="39"/>
      <c r="B48" s="39"/>
      <c r="C48" s="39"/>
      <c r="D48" s="39"/>
      <c r="E48" s="39"/>
      <c r="F48" s="39"/>
      <c r="G48" s="39"/>
      <c r="H48" s="39"/>
      <c r="I48" s="39"/>
      <c r="K48" s="39"/>
      <c r="AD48" s="77" t="s">
        <v>602</v>
      </c>
    </row>
    <row r="49" spans="1:31" s="35" customFormat="1" ht="34.5" customHeight="1">
      <c r="A49" s="354" t="s">
        <v>615</v>
      </c>
      <c r="B49" s="352" t="s">
        <v>616</v>
      </c>
      <c r="C49" s="352" t="s">
        <v>617</v>
      </c>
      <c r="D49" s="352"/>
      <c r="E49" s="352" t="s">
        <v>618</v>
      </c>
      <c r="F49" s="352"/>
      <c r="G49" s="352" t="s">
        <v>619</v>
      </c>
      <c r="H49" s="352"/>
      <c r="I49" s="352" t="s">
        <v>620</v>
      </c>
      <c r="J49" s="352"/>
      <c r="K49" s="352" t="s">
        <v>65</v>
      </c>
      <c r="L49" s="352"/>
      <c r="M49" s="352"/>
      <c r="N49" s="352"/>
      <c r="O49" s="352"/>
      <c r="P49" s="352"/>
      <c r="Q49" s="352"/>
      <c r="R49" s="352"/>
      <c r="S49" s="352"/>
      <c r="T49" s="352"/>
      <c r="U49" s="352" t="s">
        <v>621</v>
      </c>
      <c r="V49" s="352"/>
      <c r="W49" s="352"/>
      <c r="X49" s="352"/>
      <c r="Y49" s="352"/>
      <c r="Z49" s="352" t="s">
        <v>622</v>
      </c>
      <c r="AA49" s="352"/>
      <c r="AB49" s="352"/>
      <c r="AC49" s="352"/>
      <c r="AD49" s="352"/>
      <c r="AE49" s="352"/>
    </row>
    <row r="50" spans="1:31" s="35" customFormat="1" ht="52.5" customHeight="1">
      <c r="A50" s="354"/>
      <c r="B50" s="352"/>
      <c r="C50" s="352"/>
      <c r="D50" s="352"/>
      <c r="E50" s="352"/>
      <c r="F50" s="352"/>
      <c r="G50" s="352"/>
      <c r="H50" s="352"/>
      <c r="I50" s="352"/>
      <c r="J50" s="352"/>
      <c r="K50" s="352" t="s">
        <v>623</v>
      </c>
      <c r="L50" s="352"/>
      <c r="M50" s="352" t="s">
        <v>624</v>
      </c>
      <c r="N50" s="352"/>
      <c r="O50" s="352" t="s">
        <v>625</v>
      </c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</row>
    <row r="51" spans="1:31" s="36" customFormat="1" ht="82.5" customHeight="1">
      <c r="A51" s="354"/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 t="s">
        <v>626</v>
      </c>
      <c r="P51" s="352"/>
      <c r="Q51" s="352" t="s">
        <v>627</v>
      </c>
      <c r="R51" s="352"/>
      <c r="S51" s="352" t="s">
        <v>628</v>
      </c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</row>
    <row r="52" spans="1:31" s="35" customFormat="1" ht="18" customHeight="1">
      <c r="A52" s="61">
        <v>1</v>
      </c>
      <c r="B52" s="44">
        <v>2</v>
      </c>
      <c r="C52" s="352">
        <v>3</v>
      </c>
      <c r="D52" s="352"/>
      <c r="E52" s="352">
        <v>4</v>
      </c>
      <c r="F52" s="352"/>
      <c r="G52" s="352">
        <v>5</v>
      </c>
      <c r="H52" s="352"/>
      <c r="I52" s="352">
        <v>6</v>
      </c>
      <c r="J52" s="352"/>
      <c r="K52" s="352">
        <v>7</v>
      </c>
      <c r="L52" s="352"/>
      <c r="M52" s="352">
        <v>8</v>
      </c>
      <c r="N52" s="352"/>
      <c r="O52" s="352">
        <v>9</v>
      </c>
      <c r="P52" s="352"/>
      <c r="Q52" s="354">
        <v>10</v>
      </c>
      <c r="R52" s="354"/>
      <c r="S52" s="352">
        <v>11</v>
      </c>
      <c r="T52" s="352"/>
      <c r="U52" s="352">
        <v>12</v>
      </c>
      <c r="V52" s="352"/>
      <c r="W52" s="352"/>
      <c r="X52" s="352"/>
      <c r="Y52" s="352"/>
      <c r="Z52" s="352">
        <v>13</v>
      </c>
      <c r="AA52" s="352"/>
      <c r="AB52" s="352"/>
      <c r="AC52" s="352"/>
      <c r="AD52" s="352"/>
      <c r="AE52" s="352"/>
    </row>
    <row r="53" spans="1:31" s="35" customFormat="1" ht="20.100000000000001" customHeight="1">
      <c r="A53" s="62"/>
      <c r="B53" s="63"/>
      <c r="C53" s="383"/>
      <c r="D53" s="383"/>
      <c r="E53" s="381"/>
      <c r="F53" s="381"/>
      <c r="G53" s="381"/>
      <c r="H53" s="381"/>
      <c r="I53" s="381"/>
      <c r="J53" s="381"/>
      <c r="K53" s="381"/>
      <c r="L53" s="381"/>
      <c r="M53" s="352">
        <f>SUM(O53,Q53,S53)</f>
        <v>0</v>
      </c>
      <c r="N53" s="352"/>
      <c r="O53" s="381"/>
      <c r="P53" s="381"/>
      <c r="Q53" s="381"/>
      <c r="R53" s="381"/>
      <c r="S53" s="381"/>
      <c r="T53" s="381"/>
      <c r="U53" s="379"/>
      <c r="V53" s="379"/>
      <c r="W53" s="379"/>
      <c r="X53" s="379"/>
      <c r="Y53" s="379"/>
      <c r="Z53" s="399"/>
      <c r="AA53" s="399"/>
      <c r="AB53" s="399"/>
      <c r="AC53" s="399"/>
      <c r="AD53" s="399"/>
      <c r="AE53" s="399"/>
    </row>
    <row r="54" spans="1:31" s="35" customFormat="1" ht="20.100000000000001" customHeight="1">
      <c r="A54" s="62"/>
      <c r="B54" s="63"/>
      <c r="C54" s="383"/>
      <c r="D54" s="383"/>
      <c r="E54" s="381"/>
      <c r="F54" s="381"/>
      <c r="G54" s="381"/>
      <c r="H54" s="381"/>
      <c r="I54" s="381"/>
      <c r="J54" s="381"/>
      <c r="K54" s="381"/>
      <c r="L54" s="381"/>
      <c r="M54" s="352">
        <f>SUM(O54,Q54,S54)</f>
        <v>0</v>
      </c>
      <c r="N54" s="352"/>
      <c r="O54" s="381"/>
      <c r="P54" s="381"/>
      <c r="Q54" s="381"/>
      <c r="R54" s="381"/>
      <c r="S54" s="381"/>
      <c r="T54" s="381"/>
      <c r="U54" s="379"/>
      <c r="V54" s="379"/>
      <c r="W54" s="379"/>
      <c r="X54" s="379"/>
      <c r="Y54" s="379"/>
      <c r="Z54" s="399"/>
      <c r="AA54" s="399"/>
      <c r="AB54" s="399"/>
      <c r="AC54" s="399"/>
      <c r="AD54" s="399"/>
      <c r="AE54" s="399"/>
    </row>
    <row r="55" spans="1:31" s="35" customFormat="1" ht="20.100000000000001" customHeight="1">
      <c r="A55" s="62"/>
      <c r="B55" s="63"/>
      <c r="C55" s="383"/>
      <c r="D55" s="383"/>
      <c r="E55" s="381"/>
      <c r="F55" s="381"/>
      <c r="G55" s="381"/>
      <c r="H55" s="381"/>
      <c r="I55" s="381"/>
      <c r="J55" s="381"/>
      <c r="K55" s="381"/>
      <c r="L55" s="381"/>
      <c r="M55" s="352">
        <f>SUM(O55,Q55,S55)</f>
        <v>0</v>
      </c>
      <c r="N55" s="352"/>
      <c r="O55" s="381"/>
      <c r="P55" s="381"/>
      <c r="Q55" s="381"/>
      <c r="R55" s="381"/>
      <c r="S55" s="381"/>
      <c r="T55" s="381"/>
      <c r="U55" s="379"/>
      <c r="V55" s="379"/>
      <c r="W55" s="379"/>
      <c r="X55" s="379"/>
      <c r="Y55" s="379"/>
      <c r="Z55" s="399"/>
      <c r="AA55" s="399"/>
      <c r="AB55" s="399"/>
      <c r="AC55" s="399"/>
      <c r="AD55" s="399"/>
      <c r="AE55" s="399"/>
    </row>
    <row r="56" spans="1:31" s="35" customFormat="1" ht="20.100000000000001" customHeight="1">
      <c r="A56" s="62"/>
      <c r="B56" s="63"/>
      <c r="C56" s="383"/>
      <c r="D56" s="383"/>
      <c r="E56" s="381"/>
      <c r="F56" s="381"/>
      <c r="G56" s="381"/>
      <c r="H56" s="381"/>
      <c r="I56" s="381"/>
      <c r="J56" s="381"/>
      <c r="K56" s="381"/>
      <c r="L56" s="381"/>
      <c r="M56" s="352">
        <f>SUM(O56,Q56,S56)</f>
        <v>0</v>
      </c>
      <c r="N56" s="352"/>
      <c r="O56" s="381"/>
      <c r="P56" s="381"/>
      <c r="Q56" s="381"/>
      <c r="R56" s="381"/>
      <c r="S56" s="381"/>
      <c r="T56" s="381"/>
      <c r="U56" s="379"/>
      <c r="V56" s="379"/>
      <c r="W56" s="379"/>
      <c r="X56" s="379"/>
      <c r="Y56" s="379"/>
      <c r="Z56" s="399"/>
      <c r="AA56" s="399"/>
      <c r="AB56" s="399"/>
      <c r="AC56" s="399"/>
      <c r="AD56" s="399"/>
      <c r="AE56" s="399"/>
    </row>
    <row r="57" spans="1:31" s="35" customFormat="1" ht="20.100000000000001" customHeight="1">
      <c r="A57" s="62"/>
      <c r="B57" s="63"/>
      <c r="C57" s="383"/>
      <c r="D57" s="383"/>
      <c r="E57" s="381"/>
      <c r="F57" s="381"/>
      <c r="G57" s="381"/>
      <c r="H57" s="381"/>
      <c r="I57" s="381"/>
      <c r="J57" s="381"/>
      <c r="K57" s="381"/>
      <c r="L57" s="381"/>
      <c r="M57" s="352">
        <f>SUM(O57,Q57,S57)</f>
        <v>0</v>
      </c>
      <c r="N57" s="352"/>
      <c r="O57" s="381"/>
      <c r="P57" s="381"/>
      <c r="Q57" s="381"/>
      <c r="R57" s="381"/>
      <c r="S57" s="381"/>
      <c r="T57" s="381"/>
      <c r="U57" s="379"/>
      <c r="V57" s="379"/>
      <c r="W57" s="379"/>
      <c r="X57" s="379"/>
      <c r="Y57" s="379"/>
      <c r="Z57" s="399"/>
      <c r="AA57" s="399"/>
      <c r="AB57" s="399"/>
      <c r="AC57" s="399"/>
      <c r="AD57" s="399"/>
      <c r="AE57" s="399"/>
    </row>
    <row r="58" spans="1:31" s="35" customFormat="1" ht="20.100000000000001" customHeight="1">
      <c r="A58" s="398" t="s">
        <v>314</v>
      </c>
      <c r="B58" s="398"/>
      <c r="C58" s="398"/>
      <c r="D58" s="398"/>
      <c r="E58" s="352">
        <f>SUM(E53:F57)</f>
        <v>0</v>
      </c>
      <c r="F58" s="352"/>
      <c r="G58" s="352">
        <f>SUM(G53:H57)</f>
        <v>0</v>
      </c>
      <c r="H58" s="352"/>
      <c r="I58" s="352">
        <f>SUM(I53:J57)</f>
        <v>0</v>
      </c>
      <c r="J58" s="352"/>
      <c r="K58" s="352">
        <f>SUM(K53:L57)</f>
        <v>0</v>
      </c>
      <c r="L58" s="352"/>
      <c r="M58" s="352">
        <f>SUM(M53:N57)</f>
        <v>0</v>
      </c>
      <c r="N58" s="352"/>
      <c r="O58" s="352">
        <f>SUM(O53:P57)</f>
        <v>0</v>
      </c>
      <c r="P58" s="352"/>
      <c r="Q58" s="352">
        <f>SUM(Q53:R57)</f>
        <v>0</v>
      </c>
      <c r="R58" s="352"/>
      <c r="S58" s="352">
        <f>SUM(S53:T57)</f>
        <v>0</v>
      </c>
      <c r="T58" s="352"/>
      <c r="U58" s="400"/>
      <c r="V58" s="400"/>
      <c r="W58" s="400"/>
      <c r="X58" s="400"/>
      <c r="Y58" s="400"/>
      <c r="Z58" s="401"/>
      <c r="AA58" s="401"/>
      <c r="AB58" s="401"/>
      <c r="AC58" s="401"/>
      <c r="AD58" s="401"/>
      <c r="AE58" s="401"/>
    </row>
    <row r="59" spans="1:31" ht="20.100000000000001" customHeight="1">
      <c r="A59" s="64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</row>
    <row r="60" spans="1:31" s="37" customFormat="1" ht="38.25" customHeight="1">
      <c r="C60" s="33"/>
      <c r="D60" s="33"/>
      <c r="E60" s="33"/>
      <c r="F60" s="33"/>
      <c r="G60" s="33"/>
      <c r="H60" s="33"/>
      <c r="I60" s="33"/>
      <c r="J60" s="33"/>
      <c r="K60" s="33"/>
    </row>
    <row r="61" spans="1:31" s="38" customFormat="1" ht="37.5" customHeight="1">
      <c r="B61" s="402" t="s">
        <v>629</v>
      </c>
      <c r="C61" s="402"/>
      <c r="D61" s="402"/>
      <c r="E61" s="66"/>
      <c r="F61" s="66"/>
      <c r="G61" s="66"/>
      <c r="K61" s="69"/>
      <c r="L61" s="403" t="s">
        <v>630</v>
      </c>
      <c r="M61" s="403"/>
      <c r="N61" s="403"/>
      <c r="O61" s="403"/>
      <c r="P61" s="403"/>
      <c r="Q61" s="75"/>
      <c r="R61" s="75"/>
      <c r="S61" s="75"/>
      <c r="T61" s="75"/>
      <c r="U61" s="75"/>
      <c r="V61" s="338" t="s">
        <v>124</v>
      </c>
      <c r="W61" s="338"/>
      <c r="X61" s="338"/>
      <c r="Y61" s="338"/>
      <c r="Z61" s="78"/>
    </row>
    <row r="62" spans="1:31" s="37" customFormat="1" ht="19.5" customHeight="1">
      <c r="B62" s="67" t="s">
        <v>125</v>
      </c>
      <c r="C62" s="347"/>
      <c r="D62" s="347"/>
      <c r="E62" s="347"/>
      <c r="F62" s="347"/>
      <c r="G62" s="347"/>
      <c r="K62" s="70"/>
      <c r="M62" s="71"/>
      <c r="N62" s="40" t="s">
        <v>126</v>
      </c>
      <c r="O62" s="71"/>
      <c r="Q62" s="70"/>
      <c r="R62" s="70"/>
      <c r="S62" s="70"/>
      <c r="V62" s="347" t="s">
        <v>127</v>
      </c>
      <c r="W62" s="347"/>
      <c r="X62" s="347"/>
    </row>
    <row r="63" spans="1:31" ht="20.100000000000001" customHeight="1"/>
    <row r="64" spans="1:31" ht="20.100000000000001" customHeight="1"/>
  </sheetData>
  <mergeCells count="227">
    <mergeCell ref="U49:Y51"/>
    <mergeCell ref="Z49:AE51"/>
    <mergeCell ref="K50:L51"/>
    <mergeCell ref="M50:N51"/>
    <mergeCell ref="U58:Y58"/>
    <mergeCell ref="Z58:AE58"/>
    <mergeCell ref="B61:D61"/>
    <mergeCell ref="L61:P61"/>
    <mergeCell ref="V61:Y61"/>
    <mergeCell ref="C62:G62"/>
    <mergeCell ref="V62:X62"/>
    <mergeCell ref="A4:A5"/>
    <mergeCell ref="A14:A16"/>
    <mergeCell ref="A26:A28"/>
    <mergeCell ref="A49:A51"/>
    <mergeCell ref="B4:B5"/>
    <mergeCell ref="B14:B16"/>
    <mergeCell ref="B49:B51"/>
    <mergeCell ref="C4:F5"/>
    <mergeCell ref="G4:L5"/>
    <mergeCell ref="M4:P5"/>
    <mergeCell ref="C14:F16"/>
    <mergeCell ref="G14:P16"/>
    <mergeCell ref="Q14:U16"/>
    <mergeCell ref="V15:W16"/>
    <mergeCell ref="B26:F28"/>
    <mergeCell ref="C49:D51"/>
    <mergeCell ref="E49:F51"/>
    <mergeCell ref="A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6:Y56"/>
    <mergeCell ref="Z56:AE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Y57"/>
    <mergeCell ref="Z57:AE57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4:Y54"/>
    <mergeCell ref="Z54:AE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Y55"/>
    <mergeCell ref="Z55:AE55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2:Y52"/>
    <mergeCell ref="Z52:AE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Y53"/>
    <mergeCell ref="Z53:AE53"/>
    <mergeCell ref="O50:T50"/>
    <mergeCell ref="O51:P51"/>
    <mergeCell ref="Q51:R51"/>
    <mergeCell ref="S51:T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G49:H51"/>
    <mergeCell ref="I49:J51"/>
    <mergeCell ref="B38:F38"/>
    <mergeCell ref="B39:F39"/>
    <mergeCell ref="B40:F40"/>
    <mergeCell ref="B41:F41"/>
    <mergeCell ref="B42:F42"/>
    <mergeCell ref="B43:F43"/>
    <mergeCell ref="A44:F44"/>
    <mergeCell ref="A45:F45"/>
    <mergeCell ref="K49:T49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G26:J26"/>
    <mergeCell ref="K26:N26"/>
    <mergeCell ref="O26:R26"/>
    <mergeCell ref="S26:V26"/>
    <mergeCell ref="W26:Z26"/>
    <mergeCell ref="G27:J27"/>
    <mergeCell ref="K27:N27"/>
    <mergeCell ref="O27:R27"/>
    <mergeCell ref="S27:V27"/>
    <mergeCell ref="W27:Z27"/>
    <mergeCell ref="C20:F20"/>
    <mergeCell ref="G20:P20"/>
    <mergeCell ref="Q20:U20"/>
    <mergeCell ref="V20:W20"/>
    <mergeCell ref="X20:Y20"/>
    <mergeCell ref="Z20:AA20"/>
    <mergeCell ref="AB20:AC20"/>
    <mergeCell ref="AD20:AE20"/>
    <mergeCell ref="A21:U21"/>
    <mergeCell ref="V21:W21"/>
    <mergeCell ref="X21:Y21"/>
    <mergeCell ref="Z21:AA21"/>
    <mergeCell ref="AB21:AC21"/>
    <mergeCell ref="AD21:AE21"/>
    <mergeCell ref="C18:F18"/>
    <mergeCell ref="G18:P18"/>
    <mergeCell ref="Q18:U18"/>
    <mergeCell ref="V18:W18"/>
    <mergeCell ref="X18:Y18"/>
    <mergeCell ref="Z18:AA18"/>
    <mergeCell ref="AB18:AC18"/>
    <mergeCell ref="AD18:AE18"/>
    <mergeCell ref="C19:F19"/>
    <mergeCell ref="G19:P19"/>
    <mergeCell ref="Q19:U19"/>
    <mergeCell ref="V19:W19"/>
    <mergeCell ref="X19:Y19"/>
    <mergeCell ref="Z19:AA19"/>
    <mergeCell ref="AB19:AC19"/>
    <mergeCell ref="AD19:AE19"/>
    <mergeCell ref="V14:AE14"/>
    <mergeCell ref="X15:AE15"/>
    <mergeCell ref="X16:Y16"/>
    <mergeCell ref="Z16:AA16"/>
    <mergeCell ref="AB16:AC16"/>
    <mergeCell ref="AD16:AE16"/>
    <mergeCell ref="C17:F17"/>
    <mergeCell ref="G17:P17"/>
    <mergeCell ref="Q17:U17"/>
    <mergeCell ref="V17:W17"/>
    <mergeCell ref="X17:Y17"/>
    <mergeCell ref="Z17:AA17"/>
    <mergeCell ref="AB17:AC17"/>
    <mergeCell ref="AD17:AE17"/>
    <mergeCell ref="C9:F9"/>
    <mergeCell ref="G9:L9"/>
    <mergeCell ref="M9:P9"/>
    <mergeCell ref="Q9:S9"/>
    <mergeCell ref="T9:V9"/>
    <mergeCell ref="W9:Y9"/>
    <mergeCell ref="Z9:AB9"/>
    <mergeCell ref="AC9:AE9"/>
    <mergeCell ref="A10:L10"/>
    <mergeCell ref="M10:P10"/>
    <mergeCell ref="Q10:S10"/>
    <mergeCell ref="T10:V10"/>
    <mergeCell ref="W10:Y10"/>
    <mergeCell ref="Z10:AB10"/>
    <mergeCell ref="AC10:AE10"/>
    <mergeCell ref="C7:F7"/>
    <mergeCell ref="G7:L7"/>
    <mergeCell ref="M7:P7"/>
    <mergeCell ref="Q7:S7"/>
    <mergeCell ref="T7:V7"/>
    <mergeCell ref="W7:Y7"/>
    <mergeCell ref="Z7:AB7"/>
    <mergeCell ref="AC7:AE7"/>
    <mergeCell ref="C8:F8"/>
    <mergeCell ref="G8:L8"/>
    <mergeCell ref="M8:P8"/>
    <mergeCell ref="Q8:S8"/>
    <mergeCell ref="T8:V8"/>
    <mergeCell ref="W8:Y8"/>
    <mergeCell ref="Z8:AB8"/>
    <mergeCell ref="AC8:AE8"/>
    <mergeCell ref="AB1:AE1"/>
    <mergeCell ref="Q4:AE4"/>
    <mergeCell ref="Q5:S5"/>
    <mergeCell ref="T5:V5"/>
    <mergeCell ref="W5:Y5"/>
    <mergeCell ref="Z5:AB5"/>
    <mergeCell ref="AC5:AE5"/>
    <mergeCell ref="C6:F6"/>
    <mergeCell ref="G6:L6"/>
    <mergeCell ref="M6:P6"/>
    <mergeCell ref="Q6:S6"/>
    <mergeCell ref="T6:V6"/>
    <mergeCell ref="W6:Y6"/>
    <mergeCell ref="Z6:AB6"/>
    <mergeCell ref="AC6:AE6"/>
  </mergeCells>
  <pageMargins left="0.78749999999999998" right="0.78749999999999998" top="1.1812499999999999" bottom="0.39374999999999999" header="0.51180555555555496" footer="0.51180555555555496"/>
  <pageSetup paperSize="9" scale="35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15</vt:i4>
      </vt:variant>
    </vt:vector>
  </HeadingPairs>
  <TitlesOfParts>
    <vt:vector size="25" baseType="lpstr">
      <vt:lpstr>Лист1</vt:lpstr>
      <vt:lpstr>Осн. фін. пок.</vt:lpstr>
      <vt:lpstr>I. Фін результат</vt:lpstr>
      <vt:lpstr>ІІ. Розр. з бюджетом</vt:lpstr>
      <vt:lpstr>РУХ новый</vt:lpstr>
      <vt:lpstr>IV. Кап. інвестиції</vt:lpstr>
      <vt:lpstr> V. Коефіцієнти</vt:lpstr>
      <vt:lpstr>6.1. Інша інфо_1</vt:lpstr>
      <vt:lpstr>6.2. Інша інфо_2</vt:lpstr>
      <vt:lpstr>Лист3</vt:lpstr>
      <vt:lpstr>' V. Коефіцієнти'!Print_Titles_0</vt:lpstr>
      <vt:lpstr>'I. Фін результат'!Print_Titles_0</vt:lpstr>
      <vt:lpstr>'ІІ. Розр. з бюджетом'!Print_Titles_0</vt:lpstr>
      <vt:lpstr>'Осн. фін. пок.'!Print_Titles_0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'РУХ новый'!Область_печати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</dc:creator>
  <cp:lastModifiedBy>Черезова Ирина</cp:lastModifiedBy>
  <cp:revision>19</cp:revision>
  <cp:lastPrinted>2023-03-23T12:32:59Z</cp:lastPrinted>
  <dcterms:created xsi:type="dcterms:W3CDTF">2003-03-13T18:00:00Z</dcterms:created>
  <dcterms:modified xsi:type="dcterms:W3CDTF">2023-03-23T12:33:06Z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12F8240B10174B2E91B087C43498D8CC</vt:lpwstr>
  </property>
  <property fmtid="{D5CDD505-2E9C-101B-9397-08002B2CF9AE}" pid="3" name="KSOProductBuildVer">
    <vt:lpwstr>1033-11.2.0.11440</vt:lpwstr>
  </property>
</Properties>
</file>