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40" windowHeight="9384" tabRatio="787" firstSheet="1" activeTab="1"/>
  </bookViews>
  <sheets>
    <sheet name="Додаток 1 Фін.план" sheetId="16" r:id="rId1"/>
    <sheet name="Додаток 2 Фін.звіт" sheetId="7" r:id="rId2"/>
  </sheets>
  <definedNames>
    <definedName name="_xlnm.Print_Area" localSheetId="0">'Додаток 1 Фін.план'!$A$1:$I$99</definedName>
    <definedName name="_xlnm.Print_Area" localSheetId="1">'Додаток 2 Фін.звіт'!$A$1:$J$92</definedName>
  </definedNames>
  <calcPr calcId="152511"/>
</workbook>
</file>

<file path=xl/calcChain.xml><?xml version="1.0" encoding="utf-8"?>
<calcChain xmlns="http://schemas.openxmlformats.org/spreadsheetml/2006/main">
  <c r="G14" i="7" l="1"/>
  <c r="G38" i="16"/>
  <c r="D27" i="7" s="1"/>
  <c r="I58" i="16"/>
  <c r="H43" i="16"/>
  <c r="G21" i="7"/>
  <c r="G20" i="7"/>
  <c r="G17" i="7"/>
  <c r="G74" i="7"/>
  <c r="G73" i="7"/>
  <c r="G71" i="7"/>
  <c r="G50" i="7"/>
  <c r="G51" i="7"/>
  <c r="G52" i="7"/>
  <c r="G49" i="7"/>
  <c r="G48" i="7"/>
  <c r="G39" i="7"/>
  <c r="G38" i="7"/>
  <c r="G37" i="7"/>
  <c r="G36" i="7"/>
  <c r="G34" i="7"/>
  <c r="G33" i="7"/>
  <c r="G32" i="7"/>
  <c r="G31" i="7"/>
  <c r="G30" i="7"/>
  <c r="G29" i="7"/>
  <c r="G25" i="7"/>
  <c r="G24" i="7"/>
  <c r="G23" i="7"/>
  <c r="H71" i="7"/>
  <c r="H73" i="7"/>
  <c r="H74" i="7"/>
  <c r="D71" i="7"/>
  <c r="D73" i="7"/>
  <c r="D74" i="7"/>
  <c r="H80" i="7"/>
  <c r="H81" i="7"/>
  <c r="H82" i="7"/>
  <c r="H83" i="7"/>
  <c r="H79" i="7"/>
  <c r="H49" i="7"/>
  <c r="H50" i="7"/>
  <c r="H48" i="7"/>
  <c r="D49" i="7"/>
  <c r="D50" i="7"/>
  <c r="D48" i="7"/>
  <c r="D39" i="7"/>
  <c r="D35" i="7"/>
  <c r="D31" i="7"/>
  <c r="D26" i="7"/>
  <c r="D22" i="7"/>
  <c r="H38" i="7"/>
  <c r="H34" i="7"/>
  <c r="H30" i="7"/>
  <c r="H26" i="7"/>
  <c r="G43" i="16"/>
  <c r="H32" i="7" s="1"/>
  <c r="G57" i="16"/>
  <c r="G59" i="16"/>
  <c r="G45" i="16"/>
  <c r="D34" i="7" s="1"/>
  <c r="G50" i="16"/>
  <c r="H39" i="7" s="1"/>
  <c r="G47" i="16"/>
  <c r="H36" i="7" s="1"/>
  <c r="G49" i="16"/>
  <c r="D38" i="7" s="1"/>
  <c r="G48" i="16"/>
  <c r="H37" i="7" s="1"/>
  <c r="G42" i="16"/>
  <c r="H31" i="7" s="1"/>
  <c r="G44" i="16"/>
  <c r="H33" i="7" s="1"/>
  <c r="G41" i="16"/>
  <c r="D30" i="7" s="1"/>
  <c r="G40" i="16"/>
  <c r="H29" i="7" s="1"/>
  <c r="G46" i="16"/>
  <c r="H35" i="7" s="1"/>
  <c r="G32" i="16"/>
  <c r="H21" i="7" s="1"/>
  <c r="I38" i="16"/>
  <c r="D21" i="7" l="1"/>
  <c r="D32" i="7"/>
  <c r="D36" i="7"/>
  <c r="D29" i="7"/>
  <c r="D33" i="7"/>
  <c r="D37" i="7"/>
  <c r="H27" i="7"/>
  <c r="G36" i="16"/>
  <c r="G35" i="16"/>
  <c r="G34" i="16"/>
  <c r="H32" i="16"/>
  <c r="G31" i="16"/>
  <c r="G25" i="16"/>
  <c r="G28" i="16"/>
  <c r="H85" i="16"/>
  <c r="H84" i="16"/>
  <c r="H82" i="16"/>
  <c r="I82" i="16" s="1"/>
  <c r="H81" i="16"/>
  <c r="I81" i="16" s="1"/>
  <c r="H50" i="16"/>
  <c r="H49" i="16"/>
  <c r="H47" i="16"/>
  <c r="H46" i="16"/>
  <c r="H45" i="16"/>
  <c r="H44" i="16"/>
  <c r="H41" i="16"/>
  <c r="H40" i="16"/>
  <c r="H37" i="16"/>
  <c r="H28" i="16"/>
  <c r="H26" i="16"/>
  <c r="J48" i="7"/>
  <c r="G47" i="7"/>
  <c r="G45" i="7"/>
  <c r="G44" i="7"/>
  <c r="G43" i="7" s="1"/>
  <c r="H51" i="7"/>
  <c r="H52" i="7"/>
  <c r="H47" i="7"/>
  <c r="G80" i="7"/>
  <c r="G81" i="7"/>
  <c r="G82" i="7"/>
  <c r="G83" i="7"/>
  <c r="G79" i="7"/>
  <c r="G72" i="7"/>
  <c r="G75" i="7"/>
  <c r="G70" i="7"/>
  <c r="D75" i="7"/>
  <c r="G35" i="7"/>
  <c r="G22" i="7"/>
  <c r="G26" i="7"/>
  <c r="G27" i="7"/>
  <c r="G19" i="7"/>
  <c r="G15" i="7"/>
  <c r="D47" i="7"/>
  <c r="H45" i="7"/>
  <c r="I33" i="7"/>
  <c r="F29" i="16"/>
  <c r="G86" i="16"/>
  <c r="H75" i="7" s="1"/>
  <c r="G83" i="16"/>
  <c r="G81" i="16"/>
  <c r="I43" i="16"/>
  <c r="G30" i="16"/>
  <c r="G26" i="16"/>
  <c r="F71" i="7"/>
  <c r="D51" i="7"/>
  <c r="E51" i="7" s="1"/>
  <c r="D52" i="7"/>
  <c r="E52" i="7" s="1"/>
  <c r="D44" i="7"/>
  <c r="H44" i="7" s="1"/>
  <c r="D54" i="16"/>
  <c r="D51" i="16" s="1"/>
  <c r="D76" i="16" s="1"/>
  <c r="D77" i="16" s="1"/>
  <c r="F54" i="16"/>
  <c r="G54" i="16"/>
  <c r="H54" i="16"/>
  <c r="I54" i="16"/>
  <c r="E55" i="16"/>
  <c r="E56" i="16"/>
  <c r="D57" i="16"/>
  <c r="D52" i="16"/>
  <c r="F57" i="16"/>
  <c r="E58" i="16"/>
  <c r="I51" i="7"/>
  <c r="D29" i="16"/>
  <c r="C54" i="7"/>
  <c r="D27" i="16"/>
  <c r="F80" i="16"/>
  <c r="D80" i="16"/>
  <c r="E78" i="16"/>
  <c r="E74" i="16"/>
  <c r="E73" i="16"/>
  <c r="E72" i="16"/>
  <c r="E71" i="16"/>
  <c r="I70" i="16"/>
  <c r="H70" i="16"/>
  <c r="E70" i="16" s="1"/>
  <c r="G70" i="16"/>
  <c r="F70" i="16"/>
  <c r="D70" i="16"/>
  <c r="C70" i="16"/>
  <c r="E69" i="16"/>
  <c r="E68" i="16"/>
  <c r="E67" i="16"/>
  <c r="E66" i="16"/>
  <c r="I65" i="16"/>
  <c r="H65" i="16"/>
  <c r="G65" i="16"/>
  <c r="F65" i="16"/>
  <c r="E65" i="16" s="1"/>
  <c r="D65" i="16"/>
  <c r="C65" i="16"/>
  <c r="F24" i="16"/>
  <c r="D24" i="16"/>
  <c r="E75" i="7"/>
  <c r="I63" i="7"/>
  <c r="I62" i="7"/>
  <c r="I61" i="7"/>
  <c r="I60" i="7"/>
  <c r="I58" i="7"/>
  <c r="I57" i="7"/>
  <c r="I56" i="7"/>
  <c r="I55" i="7"/>
  <c r="E63" i="7"/>
  <c r="E62" i="7"/>
  <c r="E61" i="7"/>
  <c r="E60" i="7"/>
  <c r="E58" i="7"/>
  <c r="E57" i="7"/>
  <c r="E56" i="7"/>
  <c r="E55" i="7"/>
  <c r="I45" i="7"/>
  <c r="E45" i="7"/>
  <c r="C69" i="7"/>
  <c r="H59" i="7"/>
  <c r="I59" i="7"/>
  <c r="G59" i="7"/>
  <c r="D59" i="7"/>
  <c r="C59" i="7"/>
  <c r="H54" i="7"/>
  <c r="I54" i="7" s="1"/>
  <c r="G54" i="7"/>
  <c r="D54" i="7"/>
  <c r="E54" i="7" s="1"/>
  <c r="C43" i="7"/>
  <c r="E59" i="7"/>
  <c r="E49" i="7"/>
  <c r="F27" i="16"/>
  <c r="D72" i="7" l="1"/>
  <c r="H72" i="7"/>
  <c r="H31" i="16"/>
  <c r="D20" i="7"/>
  <c r="E20" i="7" s="1"/>
  <c r="H20" i="7"/>
  <c r="I20" i="7" s="1"/>
  <c r="D15" i="7"/>
  <c r="E15" i="7" s="1"/>
  <c r="H15" i="7"/>
  <c r="H86" i="16"/>
  <c r="I86" i="16" s="1"/>
  <c r="D19" i="7"/>
  <c r="H19" i="7"/>
  <c r="H70" i="7"/>
  <c r="H69" i="7" s="1"/>
  <c r="D70" i="7"/>
  <c r="H30" i="16"/>
  <c r="I30" i="16" s="1"/>
  <c r="H83" i="16"/>
  <c r="I83" i="16" s="1"/>
  <c r="H17" i="7"/>
  <c r="H16" i="7" s="1"/>
  <c r="D17" i="7"/>
  <c r="H34" i="16"/>
  <c r="H23" i="7"/>
  <c r="D23" i="7"/>
  <c r="F23" i="7" s="1"/>
  <c r="H25" i="7"/>
  <c r="J25" i="7" s="1"/>
  <c r="D25" i="7"/>
  <c r="F52" i="16"/>
  <c r="H25" i="16"/>
  <c r="D14" i="7"/>
  <c r="D13" i="7" s="1"/>
  <c r="H14" i="7"/>
  <c r="D24" i="7"/>
  <c r="H24" i="7"/>
  <c r="J24" i="7" s="1"/>
  <c r="E54" i="16"/>
  <c r="E44" i="7"/>
  <c r="I34" i="16"/>
  <c r="H27" i="16"/>
  <c r="I26" i="16"/>
  <c r="H43" i="7"/>
  <c r="I43" i="7" s="1"/>
  <c r="I44" i="7"/>
  <c r="D43" i="7"/>
  <c r="J26" i="7"/>
  <c r="I39" i="7"/>
  <c r="J31" i="7"/>
  <c r="J36" i="7"/>
  <c r="J32" i="7"/>
  <c r="I15" i="7"/>
  <c r="I75" i="7"/>
  <c r="I70" i="7"/>
  <c r="J38" i="7"/>
  <c r="I30" i="7"/>
  <c r="I24" i="7"/>
  <c r="I47" i="7"/>
  <c r="D46" i="7"/>
  <c r="E47" i="7"/>
  <c r="E43" i="7"/>
  <c r="I38" i="7"/>
  <c r="J30" i="7"/>
  <c r="J29" i="7"/>
  <c r="I29" i="7"/>
  <c r="C76" i="16"/>
  <c r="C77" i="16" s="1"/>
  <c r="I85" i="16"/>
  <c r="E71" i="7"/>
  <c r="F74" i="7"/>
  <c r="E74" i="7"/>
  <c r="I84" i="16"/>
  <c r="G80" i="16"/>
  <c r="E72" i="7"/>
  <c r="F51" i="16"/>
  <c r="F76" i="16" s="1"/>
  <c r="F77" i="16" s="1"/>
  <c r="I47" i="16"/>
  <c r="E32" i="7"/>
  <c r="E39" i="7"/>
  <c r="I41" i="16"/>
  <c r="I48" i="16"/>
  <c r="I49" i="16"/>
  <c r="I44" i="16"/>
  <c r="I45" i="16"/>
  <c r="E34" i="7"/>
  <c r="I50" i="16"/>
  <c r="I46" i="16"/>
  <c r="I42" i="16"/>
  <c r="I40" i="16"/>
  <c r="J74" i="7"/>
  <c r="I74" i="7"/>
  <c r="I72" i="7"/>
  <c r="G69" i="7"/>
  <c r="G52" i="16"/>
  <c r="I34" i="7"/>
  <c r="J34" i="7"/>
  <c r="J39" i="7"/>
  <c r="I35" i="7"/>
  <c r="I37" i="7"/>
  <c r="J33" i="7"/>
  <c r="I36" i="7"/>
  <c r="E24" i="7"/>
  <c r="I35" i="16"/>
  <c r="I32" i="16"/>
  <c r="F21" i="7"/>
  <c r="E25" i="7"/>
  <c r="I33" i="16"/>
  <c r="I37" i="16"/>
  <c r="I31" i="16"/>
  <c r="I28" i="16"/>
  <c r="I27" i="16" s="1"/>
  <c r="I25" i="16"/>
  <c r="I24" i="16" s="1"/>
  <c r="G24" i="16"/>
  <c r="H24" i="16"/>
  <c r="G27" i="16"/>
  <c r="J20" i="7"/>
  <c r="I14" i="7"/>
  <c r="J21" i="7"/>
  <c r="H13" i="7"/>
  <c r="J73" i="7"/>
  <c r="I73" i="7"/>
  <c r="I71" i="7"/>
  <c r="J71" i="7"/>
  <c r="E35" i="7"/>
  <c r="E50" i="7"/>
  <c r="E30" i="7"/>
  <c r="I31" i="7"/>
  <c r="F20" i="7"/>
  <c r="I50" i="7"/>
  <c r="F14" i="7"/>
  <c r="E31" i="7"/>
  <c r="I32" i="7"/>
  <c r="I48" i="7"/>
  <c r="I27" i="7"/>
  <c r="I26" i="7"/>
  <c r="J37" i="7"/>
  <c r="I23" i="7"/>
  <c r="E19" i="7"/>
  <c r="I22" i="7"/>
  <c r="H18" i="7" l="1"/>
  <c r="I25" i="7"/>
  <c r="E70" i="7"/>
  <c r="I80" i="16"/>
  <c r="I69" i="7"/>
  <c r="J69" i="7"/>
  <c r="H46" i="7"/>
  <c r="H41" i="7" s="1"/>
  <c r="I52" i="7"/>
  <c r="I49" i="7"/>
  <c r="H29" i="16"/>
  <c r="H51" i="16" s="1"/>
  <c r="G29" i="16"/>
  <c r="G51" i="16" s="1"/>
  <c r="G76" i="16" s="1"/>
  <c r="G77" i="16" s="1"/>
  <c r="F39" i="7"/>
  <c r="F30" i="7"/>
  <c r="H80" i="16"/>
  <c r="D69" i="7"/>
  <c r="F69" i="7" s="1"/>
  <c r="E73" i="7"/>
  <c r="F73" i="7"/>
  <c r="E23" i="7"/>
  <c r="E36" i="7"/>
  <c r="F32" i="7"/>
  <c r="F38" i="7"/>
  <c r="E33" i="7"/>
  <c r="E37" i="7"/>
  <c r="E29" i="7"/>
  <c r="D41" i="7"/>
  <c r="G46" i="7"/>
  <c r="G41" i="7" s="1"/>
  <c r="I29" i="16"/>
  <c r="I51" i="16" s="1"/>
  <c r="F26" i="7"/>
  <c r="E22" i="7"/>
  <c r="F24" i="7"/>
  <c r="D16" i="7"/>
  <c r="E17" i="7"/>
  <c r="G16" i="7"/>
  <c r="I16" i="7" s="1"/>
  <c r="I17" i="7"/>
  <c r="G13" i="7"/>
  <c r="I13" i="7" s="1"/>
  <c r="J14" i="7"/>
  <c r="J17" i="7"/>
  <c r="I19" i="7"/>
  <c r="G18" i="7"/>
  <c r="J18" i="7" s="1"/>
  <c r="I21" i="7"/>
  <c r="H40" i="7"/>
  <c r="C46" i="7"/>
  <c r="E48" i="7"/>
  <c r="E14" i="7"/>
  <c r="C13" i="7"/>
  <c r="E21" i="7"/>
  <c r="J23" i="7"/>
  <c r="F31" i="7"/>
  <c r="F34" i="7"/>
  <c r="J41" i="7" l="1"/>
  <c r="D18" i="7"/>
  <c r="D40" i="7" s="1"/>
  <c r="D65" i="7" s="1"/>
  <c r="J13" i="7"/>
  <c r="C18" i="7"/>
  <c r="C40" i="7" s="1"/>
  <c r="E27" i="7"/>
  <c r="J46" i="7"/>
  <c r="I46" i="7"/>
  <c r="I41" i="7"/>
  <c r="E69" i="7"/>
  <c r="F36" i="7"/>
  <c r="F33" i="7"/>
  <c r="E38" i="7"/>
  <c r="F29" i="7"/>
  <c r="E26" i="7"/>
  <c r="C16" i="7"/>
  <c r="E16" i="7" s="1"/>
  <c r="F17" i="7"/>
  <c r="I18" i="7"/>
  <c r="G40" i="7"/>
  <c r="G65" i="7" s="1"/>
  <c r="G66" i="7" s="1"/>
  <c r="J16" i="7"/>
  <c r="E46" i="7"/>
  <c r="H65" i="7"/>
  <c r="E13" i="7"/>
  <c r="F13" i="7"/>
  <c r="C41" i="7"/>
  <c r="F18" i="7" l="1"/>
  <c r="I40" i="7"/>
  <c r="E18" i="7"/>
  <c r="E40" i="7"/>
  <c r="F16" i="7"/>
  <c r="J40" i="7"/>
  <c r="F41" i="7"/>
  <c r="E41" i="7"/>
  <c r="I65" i="7"/>
  <c r="J65" i="7"/>
  <c r="H66" i="7"/>
  <c r="D66" i="7"/>
  <c r="F40" i="7" l="1"/>
  <c r="C65" i="7"/>
  <c r="C66" i="7" s="1"/>
  <c r="E66" i="7" s="1"/>
  <c r="I66" i="7"/>
  <c r="J66" i="7"/>
  <c r="F66" i="7" l="1"/>
  <c r="E65" i="7"/>
  <c r="F65" i="7"/>
  <c r="I63" i="16"/>
  <c r="E63" i="16" s="1"/>
  <c r="I59" i="16"/>
  <c r="I57" i="16" s="1"/>
  <c r="E57" i="16" s="1"/>
  <c r="I62" i="16"/>
  <c r="E62" i="16" s="1"/>
  <c r="I61" i="16"/>
  <c r="E61" i="16" s="1"/>
  <c r="H57" i="16"/>
  <c r="H52" i="16" s="1"/>
  <c r="H76" i="16" s="1"/>
  <c r="I60" i="16"/>
  <c r="E60" i="16" s="1"/>
  <c r="E59" i="16" l="1"/>
  <c r="H77" i="16"/>
  <c r="I52" i="16"/>
  <c r="I76" i="16" s="1"/>
  <c r="I77" i="16" s="1"/>
  <c r="E76" i="16" l="1"/>
</calcChain>
</file>

<file path=xl/sharedStrings.xml><?xml version="1.0" encoding="utf-8"?>
<sst xmlns="http://schemas.openxmlformats.org/spreadsheetml/2006/main" count="247" uniqueCount="150">
  <si>
    <t>факт</t>
  </si>
  <si>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</si>
  <si>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</si>
  <si>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</si>
  <si>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</si>
  <si>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</si>
  <si>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</si>
  <si>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</si>
  <si>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</si>
  <si>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</si>
  <si>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</si>
  <si>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</si>
  <si>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</si>
  <si>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</si>
  <si>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</si>
  <si>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</si>
  <si>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</si>
  <si>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</si>
  <si>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</si>
  <si>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</si>
  <si>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</si>
  <si>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</si>
  <si>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</si>
  <si>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</si>
  <si>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</si>
  <si>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</si>
  <si>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</si>
  <si>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</si>
  <si>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</si>
  <si>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</si>
  <si>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</si>
  <si>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</si>
  <si>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</si>
  <si>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</si>
  <si>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</si>
  <si>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</si>
  <si>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</si>
  <si>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</si>
  <si>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</si>
  <si>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</si>
  <si>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</si>
  <si>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</si>
  <si>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</si>
  <si>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</si>
  <si>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</si>
  <si>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</si>
  <si>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</si>
  <si>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</si>
  <si>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</si>
  <si>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</si>
  <si>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</si>
  <si>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</si>
  <si>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</si>
  <si>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</si>
  <si>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</si>
  <si>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</si>
  <si>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</si>
  <si>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</si>
  <si>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</si>
  <si>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</si>
  <si>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</si>
  <si>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</si>
  <si>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</si>
  <si>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</si>
  <si>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</si>
  <si>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</si>
  <si>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Додаток 2</t>
  </si>
  <si>
    <t>ЗВІТ ПРО ВИКОНАННЯ ФІНАНСОВОГО ПЛАНУ</t>
  </si>
  <si>
    <t>ФІНАНСОВИЙ ПЛАН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</si>
  <si>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</si>
  <si>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</si>
  <si>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</si>
  <si>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</si>
  <si>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</si>
  <si>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</si>
  <si>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</si>
  <si>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</si>
  <si>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</si>
  <si>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</si>
  <si>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</si>
  <si>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</si>
  <si>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</si>
  <si>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</si>
  <si>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</si>
  <si>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</si>
  <si>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</si>
  <si>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</si>
  <si>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</si>
  <si>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</si>
  <si>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</si>
  <si>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</si>
  <si>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</si>
  <si>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</si>
  <si>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</si>
  <si>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</si>
  <si>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</si>
  <si>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</si>
  <si>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</si>
  <si>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</si>
  <si>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</si>
  <si>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</si>
  <si>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</si>
  <si>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</si>
  <si>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платні послуги, очикувані доходи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</si>
  <si>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</si>
  <si>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</si>
  <si>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</si>
  <si>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реалізація дров, ганчірря та інше</t>
  </si>
  <si>
    <t>відшкодування (очикуване)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</si>
  <si>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</si>
  <si>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</si>
  <si>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</si>
  <si>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>Інші надходження (дохід)</t>
  </si>
  <si>
    <t xml:space="preserve">Надходження (дохід) за рахунок коштів бюджету міста </t>
  </si>
  <si>
    <t>1021</t>
  </si>
  <si>
    <t>Х</t>
  </si>
  <si>
    <t>Інші надходження (дохід) (розписати)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</si>
  <si>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</si>
  <si>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</si>
  <si>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</si>
  <si>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Збиток не може бути!!! Фінансовий результат має бути позитивним!!!</t>
  </si>
  <si>
    <t>Створюється для покриття в наступних періодах непередбачених витратат</t>
  </si>
  <si>
    <t xml:space="preserve">Фінансовий план містить інформацію щодо прогнозних показників на поточний рік, яка складається, виходячи з фактичної проміжної </t>
  </si>
  <si>
    <t>інформації та очикувань стосовно господарської діяльності підприємства в поточному році. (з Наказу " 205 від 02.03.2015)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</si>
  <si>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</si>
  <si>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</si>
  <si>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</si>
  <si>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</si>
  <si>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>основні засоби</t>
  </si>
  <si>
    <t>інші необоротни матеріальни активи</t>
  </si>
  <si>
    <t>нематеріальні активи</t>
  </si>
  <si>
    <t xml:space="preserve">доходи з місцевого бюджету цільового фінансування по капітальних видатках </t>
  </si>
  <si>
    <t>на період</t>
  </si>
  <si>
    <t>ОБОВ'ЯЗКОВО СТАВИМО ДАТУ! ЗМІН!!</t>
  </si>
  <si>
    <t xml:space="preserve"> Отримання цільового фінансування по бюджетним програмам (наприклад, по цільовій програмі місцевого бюджету по лікуванню і реабілітації учасників АТО, осіб з інвалідністю).
</t>
  </si>
  <si>
    <t>Дохід, від амортизації по НА та ОЗ, що отримані як цільове фінансування. Наприклад: дохід від амортизайції, списання що отримані як цільове фінансування.</t>
  </si>
  <si>
    <t xml:space="preserve">Дохід від амортизації  по НА та ОЗ, що отримані безоплатно </t>
  </si>
  <si>
    <t>вибуття!! (фактичні видатки)</t>
  </si>
  <si>
    <t>Інші надходження (дохід) (%-ти за депозитами)</t>
  </si>
  <si>
    <r>
      <rPr>
        <sz val="13.5"/>
        <color indexed="10"/>
        <rFont val="Calibri"/>
        <family val="2"/>
        <charset val="204"/>
      </rPr>
      <t>Згідно з договорами НСЗУ після їх підписання, до ціого моменту</t>
    </r>
    <r>
      <rPr>
        <sz val="13.5"/>
        <color indexed="8"/>
        <rFont val="Calibri"/>
        <family val="2"/>
        <charset val="204"/>
      </rPr>
      <t xml:space="preserve"> ― очикувані доходи (сума договору з НСЗУ) з поквартальною розбивкою. Отримання доходу по наданню послуг НСЗУ (за всіма пакетами).
</t>
    </r>
  </si>
  <si>
    <t>Інші надходження (дохід) (цільовий інший операц.дохід)</t>
  </si>
  <si>
    <t>Микола ТУРЧИН</t>
  </si>
  <si>
    <r>
      <t xml:space="preserve">на </t>
    </r>
    <r>
      <rPr>
        <u/>
        <sz val="13.5"/>
        <rFont val="Times New Roman"/>
        <family val="1"/>
        <charset val="204"/>
      </rPr>
      <t>30 червня 2022</t>
    </r>
    <r>
      <rPr>
        <sz val="13.5"/>
        <rFont val="Times New Roman"/>
        <family val="1"/>
        <charset val="204"/>
      </rPr>
      <t xml:space="preserve"> року</t>
    </r>
  </si>
  <si>
    <r>
      <t>за 2</t>
    </r>
    <r>
      <rPr>
        <u/>
        <sz val="13.5"/>
        <rFont val="Times New Roman"/>
        <family val="1"/>
        <charset val="204"/>
      </rPr>
      <t xml:space="preserve"> квартал 2022 р.</t>
    </r>
    <r>
      <rPr>
        <sz val="13.5"/>
        <rFont val="Times New Roman"/>
        <family val="1"/>
        <charset val="204"/>
      </rPr>
      <t xml:space="preserve">  (квартал, рік)</t>
    </r>
  </si>
  <si>
    <r>
      <t>Звітний період (2</t>
    </r>
    <r>
      <rPr>
        <u/>
        <sz val="11.5"/>
        <rFont val="Times New Roman"/>
        <family val="1"/>
        <charset val="204"/>
      </rPr>
      <t xml:space="preserve"> </t>
    </r>
    <r>
      <rPr>
        <sz val="11.5"/>
        <rFont val="Times New Roman"/>
        <family val="1"/>
        <charset val="204"/>
      </rPr>
      <t xml:space="preserve">квартал </t>
    </r>
    <r>
      <rPr>
        <u/>
        <sz val="11.5"/>
        <rFont val="Times New Roman"/>
        <family val="1"/>
        <charset val="204"/>
      </rPr>
      <t>2022</t>
    </r>
    <r>
      <rPr>
        <sz val="11.5"/>
        <rFont val="Times New Roman"/>
        <family val="1"/>
        <charset val="204"/>
      </rPr>
      <t xml:space="preserve"> року)</t>
    </r>
  </si>
  <si>
    <t>Середньооблікова кількість штатних працівників             357</t>
  </si>
  <si>
    <t>Місцезнаходження              м. Дніпро, вул. Канатна, 17</t>
  </si>
  <si>
    <t>Телефон             056-375-71-01</t>
  </si>
  <si>
    <t xml:space="preserve">КНП "Міська клінічна лікарня № 21 ім. проф. Є.Г.Попкової" ДМР </t>
  </si>
  <si>
    <t>Марина ОРЛЯНСЬКА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</si>
</sst>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2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4"/>
      <name val="Times New Roman"/>
      <family val="1"/>
      <charset val="204"/>
    </font>
    <font>
      <sz val="13.5"/>
      <color indexed="10"/>
      <name val="Calibri"/>
      <family val="2"/>
      <charset val="204"/>
    </font>
    <font>
      <sz val="13.5"/>
      <color indexed="8"/>
      <name val="Calibri"/>
      <family val="2"/>
      <charset val="204"/>
    </font>
    <font>
      <u/>
      <sz val="13.5"/>
      <name val="Times New Roman"/>
      <family val="1"/>
      <charset val="204"/>
    </font>
    <font>
      <u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.5"/>
      <name val="Arial Cyr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3.5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sz val="13.5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253">
    <xf numFmtId="0" fontId="0" fillId="0" borderId="0" xfId="0"/>
    <xf numFmtId="0" fontId="5" fillId="0" borderId="0" xfId="2" applyFont="1"/>
    <xf numFmtId="0" fontId="20" fillId="0" borderId="0" xfId="2" applyFont="1" applyAlignment="1">
      <alignment horizontal="center"/>
    </xf>
    <xf numFmtId="0" fontId="3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22" fillId="0" borderId="0" xfId="2" applyFont="1"/>
    <xf numFmtId="0" fontId="22" fillId="2" borderId="0" xfId="2" applyFont="1" applyFill="1"/>
    <xf numFmtId="0" fontId="20" fillId="0" borderId="0" xfId="2" applyFont="1"/>
    <xf numFmtId="0" fontId="7" fillId="3" borderId="0" xfId="2" applyFont="1" applyFill="1" applyBorder="1"/>
    <xf numFmtId="0" fontId="7" fillId="3" borderId="0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49" fontId="6" fillId="3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justify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justify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22" fillId="0" borderId="0" xfId="2" applyFont="1" applyFill="1"/>
    <xf numFmtId="0" fontId="5" fillId="0" borderId="0" xfId="2" applyFont="1" applyFill="1" applyBorder="1"/>
    <xf numFmtId="0" fontId="5" fillId="0" borderId="0" xfId="2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Alignment="1">
      <alignment horizontal="center"/>
    </xf>
    <xf numFmtId="0" fontId="20" fillId="0" borderId="0" xfId="2" applyFont="1" applyFill="1" applyAlignment="1">
      <alignment horizontal="center"/>
    </xf>
    <xf numFmtId="0" fontId="5" fillId="3" borderId="0" xfId="2" applyFont="1" applyFill="1" applyBorder="1"/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 wrapText="1"/>
    </xf>
    <xf numFmtId="164" fontId="6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/>
    </xf>
    <xf numFmtId="0" fontId="2" fillId="0" borderId="0" xfId="2" applyFont="1" applyAlignment="1" applyProtection="1">
      <alignment vertical="center" wrapText="1"/>
      <protection locked="0"/>
    </xf>
    <xf numFmtId="0" fontId="2" fillId="0" borderId="0" xfId="2" applyFont="1" applyAlignment="1" applyProtection="1">
      <alignment horizontal="left" vertical="center" wrapText="1"/>
      <protection locked="0"/>
    </xf>
    <xf numFmtId="0" fontId="8" fillId="3" borderId="14" xfId="2" applyFont="1" applyFill="1" applyBorder="1" applyAlignment="1">
      <alignment horizontal="center" vertical="center" wrapText="1"/>
    </xf>
    <xf numFmtId="0" fontId="8" fillId="3" borderId="18" xfId="2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3" borderId="14" xfId="0" applyFont="1" applyFill="1" applyBorder="1" applyAlignment="1" applyProtection="1">
      <alignment horizontal="justify" vertical="center" wrapText="1"/>
      <protection locked="0"/>
    </xf>
    <xf numFmtId="49" fontId="6" fillId="3" borderId="2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/>
    <xf numFmtId="0" fontId="3" fillId="3" borderId="14" xfId="0" applyFont="1" applyFill="1" applyBorder="1" applyAlignment="1" applyProtection="1">
      <alignment horizontal="justify" vertical="center" wrapText="1"/>
      <protection locked="0"/>
    </xf>
    <xf numFmtId="0" fontId="6" fillId="3" borderId="16" xfId="0" applyFont="1" applyFill="1" applyBorder="1" applyAlignment="1" applyProtection="1">
      <alignment horizontal="justify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24" fillId="2" borderId="0" xfId="2" applyFont="1" applyFill="1"/>
    <xf numFmtId="0" fontId="25" fillId="0" borderId="1" xfId="0" applyFont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6" fillId="2" borderId="0" xfId="2" applyFont="1" applyFill="1"/>
    <xf numFmtId="0" fontId="6" fillId="0" borderId="14" xfId="0" applyFont="1" applyBorder="1" applyAlignment="1">
      <alignment horizontal="justify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4" fillId="3" borderId="16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27" fillId="2" borderId="0" xfId="2" applyFont="1" applyFill="1"/>
    <xf numFmtId="4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20" fillId="0" borderId="0" xfId="2" applyNumberFormat="1" applyFont="1" applyFill="1" applyAlignment="1">
      <alignment horizontal="center" vertical="center"/>
    </xf>
    <xf numFmtId="0" fontId="20" fillId="0" borderId="0" xfId="2" applyFont="1" applyFill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4" fillId="0" borderId="0" xfId="2" applyFont="1" applyFill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14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1" fillId="0" borderId="0" xfId="2" applyFont="1" applyFill="1"/>
    <xf numFmtId="0" fontId="5" fillId="0" borderId="0" xfId="2" applyFont="1" applyFill="1"/>
    <xf numFmtId="0" fontId="3" fillId="0" borderId="0" xfId="2" applyFont="1" applyFill="1" applyAlignment="1" applyProtection="1">
      <alignment horizontal="center" vertical="center" wrapText="1"/>
      <protection locked="0"/>
    </xf>
    <xf numFmtId="0" fontId="14" fillId="0" borderId="0" xfId="2" applyFont="1" applyFill="1" applyAlignment="1" applyProtection="1">
      <alignment horizontal="center" vertical="center" wrapText="1"/>
      <protection locked="0"/>
    </xf>
    <xf numFmtId="0" fontId="21" fillId="0" borderId="0" xfId="2" applyFont="1" applyFill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 wrapText="1"/>
      <protection locked="0"/>
    </xf>
    <xf numFmtId="0" fontId="15" fillId="0" borderId="0" xfId="2" applyFont="1" applyFill="1" applyAlignment="1" applyProtection="1">
      <alignment horizontal="center" vertical="center" wrapText="1"/>
      <protection locked="0"/>
    </xf>
    <xf numFmtId="0" fontId="20" fillId="0" borderId="0" xfId="2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5" xfId="2" applyFont="1" applyFill="1" applyBorder="1" applyAlignment="1" applyProtection="1">
      <alignment horizontal="right" wrapText="1"/>
      <protection locked="0"/>
    </xf>
    <xf numFmtId="0" fontId="5" fillId="0" borderId="0" xfId="2" applyFont="1" applyFill="1" applyAlignment="1"/>
    <xf numFmtId="0" fontId="2" fillId="0" borderId="0" xfId="2" applyFont="1" applyFill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vertical="center" wrapText="1"/>
      <protection locked="0"/>
    </xf>
    <xf numFmtId="0" fontId="16" fillId="0" borderId="0" xfId="2" applyFont="1" applyFill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16" fillId="0" borderId="1" xfId="2" applyFont="1" applyFill="1" applyBorder="1" applyAlignment="1" applyProtection="1">
      <alignment horizontal="center" vertical="center" wrapText="1"/>
      <protection locked="0"/>
    </xf>
    <xf numFmtId="14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" applyFont="1" applyFill="1"/>
    <xf numFmtId="0" fontId="22" fillId="0" borderId="0" xfId="2" applyFont="1" applyFill="1" applyAlignment="1">
      <alignment vertical="top"/>
    </xf>
    <xf numFmtId="0" fontId="7" fillId="0" borderId="0" xfId="2" applyFont="1" applyFill="1" applyBorder="1"/>
    <xf numFmtId="0" fontId="17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27" fillId="0" borderId="0" xfId="2" applyFont="1" applyFill="1"/>
    <xf numFmtId="165" fontId="22" fillId="0" borderId="0" xfId="2" applyNumberFormat="1" applyFont="1" applyFill="1"/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0" fillId="0" borderId="0" xfId="2" applyFont="1" applyFill="1"/>
    <xf numFmtId="49" fontId="3" fillId="0" borderId="1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Protection="1"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0" fontId="24" fillId="0" borderId="0" xfId="2" applyFont="1" applyFill="1"/>
    <xf numFmtId="0" fontId="6" fillId="0" borderId="14" xfId="0" applyFont="1" applyFill="1" applyBorder="1" applyAlignment="1" applyProtection="1">
      <alignment horizontal="justify" vertical="center" wrapText="1"/>
      <protection locked="0"/>
    </xf>
    <xf numFmtId="0" fontId="6" fillId="0" borderId="16" xfId="0" applyFont="1" applyFill="1" applyBorder="1" applyAlignment="1" applyProtection="1">
      <alignment horizontal="justify" vertical="center" wrapText="1"/>
      <protection locked="0"/>
    </xf>
    <xf numFmtId="164" fontId="22" fillId="0" borderId="0" xfId="2" applyNumberFormat="1" applyFont="1" applyFill="1"/>
    <xf numFmtId="0" fontId="23" fillId="0" borderId="0" xfId="2" applyFont="1" applyFill="1"/>
    <xf numFmtId="0" fontId="5" fillId="0" borderId="0" xfId="2" applyFont="1" applyFill="1" applyBorder="1" applyAlignment="1">
      <alignment horizontal="center" vertical="center"/>
    </xf>
    <xf numFmtId="0" fontId="28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22" fillId="0" borderId="8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left" vertical="center" wrapText="1"/>
    </xf>
    <xf numFmtId="0" fontId="30" fillId="0" borderId="22" xfId="2" applyFont="1" applyFill="1" applyBorder="1" applyAlignment="1">
      <alignment horizontal="left" vertical="center" wrapText="1"/>
    </xf>
    <xf numFmtId="0" fontId="30" fillId="0" borderId="0" xfId="2" applyFont="1" applyFill="1" applyAlignment="1">
      <alignment horizontal="left" vertical="center" wrapText="1"/>
    </xf>
    <xf numFmtId="0" fontId="20" fillId="0" borderId="22" xfId="2" applyFont="1" applyFill="1" applyBorder="1" applyAlignment="1">
      <alignment horizontal="left" vertical="center" wrapText="1"/>
    </xf>
    <xf numFmtId="0" fontId="20" fillId="0" borderId="0" xfId="2" applyFont="1" applyFill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left" wrapText="1"/>
    </xf>
    <xf numFmtId="0" fontId="20" fillId="0" borderId="0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 applyProtection="1">
      <alignment horizontal="center" vertical="center" wrapText="1"/>
      <protection locked="0"/>
    </xf>
    <xf numFmtId="0" fontId="9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8" fillId="0" borderId="14" xfId="2" applyFont="1" applyFill="1" applyBorder="1" applyAlignment="1">
      <alignment horizontal="center" vertical="center" wrapText="1"/>
    </xf>
    <xf numFmtId="0" fontId="18" fillId="0" borderId="18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 applyProtection="1">
      <alignment horizontal="center" vertical="center" wrapText="1"/>
      <protection locked="0"/>
    </xf>
    <xf numFmtId="0" fontId="2" fillId="0" borderId="12" xfId="2" applyFont="1" applyFill="1" applyBorder="1" applyAlignment="1" applyProtection="1">
      <alignment horizontal="center" vertical="center" wrapText="1"/>
      <protection locked="0"/>
    </xf>
    <xf numFmtId="0" fontId="2" fillId="0" borderId="13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3" fillId="0" borderId="0" xfId="2" applyFont="1" applyFill="1" applyAlignment="1" applyProtection="1">
      <alignment horizontal="center" vertical="center" wrapText="1"/>
      <protection locked="0"/>
    </xf>
    <xf numFmtId="0" fontId="6" fillId="0" borderId="0" xfId="2" applyFont="1" applyFill="1" applyAlignment="1" applyProtection="1">
      <alignment horizontal="center" vertical="center" wrapText="1"/>
      <protection locked="0"/>
    </xf>
    <xf numFmtId="0" fontId="6" fillId="0" borderId="5" xfId="2" applyFont="1" applyFill="1" applyBorder="1" applyAlignment="1" applyProtection="1">
      <alignment horizontal="center" vertical="center" wrapText="1"/>
      <protection locked="0"/>
    </xf>
    <xf numFmtId="0" fontId="23" fillId="0" borderId="8" xfId="2" applyFont="1" applyFill="1" applyBorder="1" applyAlignment="1">
      <alignment horizontal="left" vertical="top" wrapText="1"/>
    </xf>
    <xf numFmtId="0" fontId="23" fillId="0" borderId="0" xfId="2" applyFont="1" applyFill="1" applyBorder="1" applyAlignment="1">
      <alignment horizontal="left" vertical="top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/>
    </xf>
    <xf numFmtId="0" fontId="29" fillId="0" borderId="0" xfId="2" applyFont="1" applyFill="1" applyAlignment="1">
      <alignment horizontal="left" vertical="center" wrapText="1"/>
    </xf>
    <xf numFmtId="0" fontId="22" fillId="0" borderId="8" xfId="2" applyFont="1" applyFill="1" applyBorder="1" applyAlignment="1">
      <alignment horizontal="left" wrapText="1"/>
    </xf>
    <xf numFmtId="0" fontId="22" fillId="0" borderId="0" xfId="2" applyFont="1" applyFill="1" applyBorder="1" applyAlignment="1">
      <alignment horizontal="left" wrapText="1"/>
    </xf>
    <xf numFmtId="0" fontId="22" fillId="0" borderId="0" xfId="2" applyFont="1" applyFill="1" applyAlignment="1">
      <alignment horizontal="left" wrapText="1"/>
    </xf>
    <xf numFmtId="0" fontId="10" fillId="0" borderId="0" xfId="2" applyFont="1" applyFill="1" applyBorder="1" applyAlignment="1">
      <alignment horizontal="left" wrapText="1"/>
    </xf>
    <xf numFmtId="0" fontId="22" fillId="2" borderId="8" xfId="2" applyFont="1" applyFill="1" applyBorder="1" applyAlignment="1">
      <alignment horizontal="left" vertical="center" wrapText="1"/>
    </xf>
    <xf numFmtId="0" fontId="22" fillId="2" borderId="0" xfId="2" applyFont="1" applyFill="1" applyAlignment="1">
      <alignment horizontal="left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8" fillId="3" borderId="24" xfId="2" applyFont="1" applyFill="1" applyBorder="1" applyAlignment="1">
      <alignment horizontal="center" vertical="center" wrapText="1"/>
    </xf>
    <xf numFmtId="0" fontId="8" fillId="3" borderId="25" xfId="2" applyFont="1" applyFill="1" applyBorder="1" applyAlignment="1">
      <alignment horizontal="center" vertical="center" wrapText="1"/>
    </xf>
    <xf numFmtId="0" fontId="3" fillId="3" borderId="22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/>
    </xf>
    <xf numFmtId="0" fontId="2" fillId="0" borderId="0" xfId="2" applyFont="1" applyAlignment="1" applyProtection="1">
      <alignment horizontal="left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9" fillId="0" borderId="5" xfId="2" applyFont="1" applyBorder="1" applyAlignment="1" applyProtection="1">
      <alignment horizontal="center" vertical="center" wrapText="1"/>
      <protection locked="0"/>
    </xf>
    <xf numFmtId="0" fontId="4" fillId="3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</cellXfs>
  <cellStyles count="3">
    <cellStyle name="Звичайний 2" xfId="1"/>
    <cellStyle name="Звичайний 2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107"/>
  <sheetViews>
    <sheetView topLeftCell="A73" zoomScale="89" zoomScaleNormal="89" workbookViewId="0">
      <selection activeCell="D99" sqref="D99:F99"/>
    </sheetView>
  </sheetViews>
  <sheetFormatPr defaultColWidth="9.109375" defaultRowHeight="18" x14ac:dyDescent="0.35"/>
  <cols>
    <col min="1" max="1" width="72.5546875" style="179" customWidth="1"/>
    <col min="2" max="2" width="10.6640625" style="179" customWidth="1"/>
    <col min="3" max="4" width="20.6640625" style="119" customWidth="1"/>
    <col min="5" max="5" width="20.6640625" style="190" customWidth="1"/>
    <col min="6" max="9" width="20.6640625" style="119" customWidth="1"/>
    <col min="10" max="10" width="12.6640625" style="32" customWidth="1"/>
    <col min="11" max="11" width="14" style="32" customWidth="1"/>
    <col min="12" max="16384" width="9.109375" style="32"/>
  </cols>
  <sheetData>
    <row r="1" spans="1:10" ht="20.25" customHeight="1" x14ac:dyDescent="0.35">
      <c r="A1" s="146"/>
      <c r="B1" s="147"/>
      <c r="C1" s="128"/>
      <c r="D1" s="148" t="s">
        <v>1</v>
      </c>
      <c r="E1" s="149"/>
      <c r="F1" s="132"/>
      <c r="G1" s="150"/>
    </row>
    <row r="2" spans="1:10" ht="20.399999999999999" customHeight="1" x14ac:dyDescent="0.35">
      <c r="A2" s="146"/>
      <c r="B2" s="147"/>
      <c r="C2" s="128"/>
      <c r="D2" s="213" t="s">
        <v>2</v>
      </c>
      <c r="E2" s="213"/>
      <c r="F2" s="213"/>
      <c r="G2" s="213"/>
      <c r="H2" s="213"/>
      <c r="I2" s="213"/>
    </row>
    <row r="3" spans="1:10" ht="7.95" customHeight="1" x14ac:dyDescent="0.35">
      <c r="A3" s="146"/>
      <c r="B3" s="147"/>
      <c r="C3" s="128"/>
      <c r="D3" s="151"/>
      <c r="E3" s="152"/>
      <c r="F3" s="151"/>
      <c r="G3" s="153"/>
    </row>
    <row r="4" spans="1:10" ht="17.25" customHeight="1" x14ac:dyDescent="0.35">
      <c r="A4" s="154" t="s">
        <v>4</v>
      </c>
      <c r="B4" s="147"/>
      <c r="C4" s="128"/>
      <c r="D4" s="214" t="s">
        <v>3</v>
      </c>
      <c r="E4" s="214"/>
      <c r="F4" s="214"/>
      <c r="G4" s="214"/>
      <c r="H4" s="214"/>
      <c r="I4" s="214"/>
    </row>
    <row r="5" spans="1:10" ht="49.5" customHeight="1" x14ac:dyDescent="0.35">
      <c r="A5" s="155" t="s">
        <v>83</v>
      </c>
      <c r="B5" s="147"/>
      <c r="C5" s="128"/>
      <c r="D5" s="215" t="s">
        <v>81</v>
      </c>
      <c r="E5" s="215"/>
      <c r="F5" s="215"/>
      <c r="G5" s="215"/>
      <c r="H5" s="215"/>
      <c r="I5" s="215"/>
    </row>
    <row r="6" spans="1:10" ht="22.2" customHeight="1" x14ac:dyDescent="0.35">
      <c r="A6" s="156" t="s">
        <v>84</v>
      </c>
      <c r="B6" s="157"/>
      <c r="C6" s="128"/>
      <c r="D6" s="216" t="s">
        <v>82</v>
      </c>
      <c r="E6" s="216"/>
      <c r="F6" s="216"/>
      <c r="G6" s="216"/>
      <c r="H6" s="216"/>
      <c r="I6" s="216"/>
    </row>
    <row r="7" spans="1:10" ht="13.2" customHeight="1" x14ac:dyDescent="0.35">
      <c r="A7" s="158" t="s">
        <v>75</v>
      </c>
      <c r="B7" s="147"/>
      <c r="C7" s="128"/>
      <c r="D7" s="213" t="s">
        <v>75</v>
      </c>
      <c r="E7" s="213"/>
      <c r="F7" s="213"/>
      <c r="G7" s="213"/>
      <c r="H7" s="213"/>
      <c r="I7" s="213"/>
    </row>
    <row r="8" spans="1:10" ht="16.95" customHeight="1" x14ac:dyDescent="0.35">
      <c r="A8" s="159"/>
      <c r="B8" s="147"/>
      <c r="C8" s="128"/>
      <c r="D8" s="158"/>
      <c r="E8" s="160"/>
      <c r="F8" s="158"/>
      <c r="G8" s="158"/>
      <c r="H8" s="158"/>
      <c r="I8" s="158"/>
    </row>
    <row r="9" spans="1:10" ht="16.95" customHeight="1" x14ac:dyDescent="0.35">
      <c r="A9" s="161" t="s">
        <v>111</v>
      </c>
      <c r="B9" s="147"/>
      <c r="C9" s="128"/>
      <c r="D9" s="162" t="s">
        <v>63</v>
      </c>
      <c r="E9" s="163"/>
      <c r="F9" s="162"/>
      <c r="G9" s="158"/>
      <c r="H9" s="158"/>
      <c r="I9" s="158"/>
    </row>
    <row r="10" spans="1:10" ht="16.95" customHeight="1" x14ac:dyDescent="0.35">
      <c r="A10" s="161" t="s">
        <v>145</v>
      </c>
      <c r="B10" s="147"/>
      <c r="C10" s="128"/>
      <c r="D10" s="162" t="s">
        <v>64</v>
      </c>
      <c r="E10" s="163" t="s">
        <v>115</v>
      </c>
      <c r="F10" s="164">
        <v>44743</v>
      </c>
      <c r="G10" s="158"/>
      <c r="H10" s="158"/>
      <c r="I10" s="158"/>
      <c r="J10" s="165" t="s">
        <v>133</v>
      </c>
    </row>
    <row r="11" spans="1:10" ht="16.95" customHeight="1" x14ac:dyDescent="0.35">
      <c r="A11" s="161" t="s">
        <v>146</v>
      </c>
      <c r="B11" s="147"/>
      <c r="C11" s="128"/>
      <c r="D11" s="162"/>
      <c r="E11" s="163"/>
      <c r="F11" s="162"/>
      <c r="G11" s="158"/>
      <c r="H11" s="158"/>
      <c r="I11" s="158"/>
    </row>
    <row r="12" spans="1:10" ht="16.95" customHeight="1" x14ac:dyDescent="0.35">
      <c r="A12" s="161" t="s">
        <v>147</v>
      </c>
      <c r="B12" s="147"/>
      <c r="C12" s="128"/>
      <c r="D12" s="210" t="s">
        <v>65</v>
      </c>
      <c r="E12" s="211"/>
      <c r="F12" s="212"/>
      <c r="G12" s="158"/>
      <c r="H12" s="158"/>
      <c r="I12" s="158"/>
    </row>
    <row r="13" spans="1:10" ht="16.95" customHeight="1" x14ac:dyDescent="0.35">
      <c r="A13" s="159"/>
      <c r="B13" s="147"/>
      <c r="C13" s="128"/>
      <c r="D13" s="158"/>
      <c r="E13" s="160"/>
      <c r="F13" s="158"/>
      <c r="G13" s="158"/>
      <c r="H13" s="158"/>
      <c r="I13" s="158"/>
    </row>
    <row r="14" spans="1:10" ht="16.95" customHeight="1" x14ac:dyDescent="0.35">
      <c r="A14" s="204" t="s">
        <v>68</v>
      </c>
      <c r="B14" s="204"/>
      <c r="C14" s="204"/>
      <c r="D14" s="204"/>
      <c r="E14" s="204"/>
      <c r="F14" s="204"/>
      <c r="G14" s="204"/>
      <c r="H14" s="204"/>
      <c r="I14" s="204"/>
      <c r="J14" s="32" t="s">
        <v>122</v>
      </c>
    </row>
    <row r="15" spans="1:10" x14ac:dyDescent="0.35">
      <c r="A15" s="205" t="s">
        <v>148</v>
      </c>
      <c r="B15" s="205"/>
      <c r="C15" s="205"/>
      <c r="D15" s="205"/>
      <c r="E15" s="205"/>
      <c r="F15" s="205"/>
      <c r="G15" s="205"/>
      <c r="H15" s="205"/>
      <c r="I15" s="205"/>
      <c r="J15" s="166" t="s">
        <v>123</v>
      </c>
    </row>
    <row r="16" spans="1:10" ht="13.2" customHeight="1" x14ac:dyDescent="0.35">
      <c r="A16" s="206" t="s">
        <v>5</v>
      </c>
      <c r="B16" s="206"/>
      <c r="C16" s="206"/>
      <c r="D16" s="206"/>
      <c r="E16" s="206"/>
      <c r="F16" s="206"/>
      <c r="G16" s="206"/>
      <c r="H16" s="206"/>
      <c r="I16" s="206"/>
    </row>
    <row r="17" spans="1:24" ht="20.399999999999999" customHeight="1" x14ac:dyDescent="0.35">
      <c r="A17" s="207" t="s">
        <v>142</v>
      </c>
      <c r="B17" s="207"/>
      <c r="C17" s="207"/>
      <c r="D17" s="207"/>
      <c r="E17" s="207"/>
      <c r="F17" s="207"/>
      <c r="G17" s="207"/>
      <c r="H17" s="207"/>
      <c r="I17" s="207"/>
    </row>
    <row r="18" spans="1:24" ht="15" customHeight="1" x14ac:dyDescent="0.35">
      <c r="A18" s="167"/>
      <c r="B18" s="137"/>
      <c r="C18" s="129"/>
      <c r="D18" s="129"/>
      <c r="E18" s="168"/>
      <c r="H18" s="169"/>
      <c r="I18" s="119" t="s">
        <v>73</v>
      </c>
    </row>
    <row r="19" spans="1:24" ht="20.399999999999999" customHeight="1" x14ac:dyDescent="0.35">
      <c r="A19" s="208" t="s">
        <v>6</v>
      </c>
      <c r="B19" s="208" t="s">
        <v>7</v>
      </c>
      <c r="C19" s="208" t="s">
        <v>8</v>
      </c>
      <c r="D19" s="208" t="s">
        <v>110</v>
      </c>
      <c r="E19" s="209" t="s">
        <v>9</v>
      </c>
      <c r="F19" s="203" t="s">
        <v>22</v>
      </c>
      <c r="G19" s="203"/>
      <c r="H19" s="203"/>
      <c r="I19" s="203"/>
    </row>
    <row r="20" spans="1:24" ht="34.5" customHeight="1" x14ac:dyDescent="0.35">
      <c r="A20" s="208"/>
      <c r="B20" s="208"/>
      <c r="C20" s="208"/>
      <c r="D20" s="208"/>
      <c r="E20" s="209"/>
      <c r="F20" s="170" t="s">
        <v>10</v>
      </c>
      <c r="G20" s="171" t="s">
        <v>11</v>
      </c>
      <c r="H20" s="171" t="s">
        <v>12</v>
      </c>
      <c r="I20" s="171" t="s">
        <v>13</v>
      </c>
    </row>
    <row r="21" spans="1:24" s="174" customFormat="1" ht="13.8" x14ac:dyDescent="0.3">
      <c r="A21" s="130" t="s">
        <v>14</v>
      </c>
      <c r="B21" s="130" t="s">
        <v>15</v>
      </c>
      <c r="C21" s="130">
        <v>3</v>
      </c>
      <c r="D21" s="130">
        <v>4</v>
      </c>
      <c r="E21" s="172">
        <v>5</v>
      </c>
      <c r="F21" s="134">
        <v>6</v>
      </c>
      <c r="G21" s="173">
        <v>7</v>
      </c>
      <c r="H21" s="173">
        <v>8</v>
      </c>
      <c r="I21" s="173">
        <v>9</v>
      </c>
    </row>
    <row r="22" spans="1:24" ht="20.25" customHeight="1" x14ac:dyDescent="0.35">
      <c r="A22" s="219" t="s">
        <v>23</v>
      </c>
      <c r="B22" s="220"/>
      <c r="C22" s="220"/>
      <c r="D22" s="220"/>
      <c r="E22" s="220"/>
      <c r="F22" s="220"/>
      <c r="G22" s="220"/>
      <c r="H22" s="220"/>
      <c r="I22" s="221"/>
      <c r="J22" s="175"/>
    </row>
    <row r="23" spans="1:24" ht="16.2" customHeight="1" x14ac:dyDescent="0.35">
      <c r="A23" s="219" t="s">
        <v>26</v>
      </c>
      <c r="B23" s="220"/>
      <c r="C23" s="220"/>
      <c r="D23" s="220"/>
      <c r="E23" s="220"/>
      <c r="F23" s="220"/>
      <c r="G23" s="220"/>
      <c r="H23" s="220"/>
      <c r="I23" s="221"/>
      <c r="J23" s="175"/>
    </row>
    <row r="24" spans="1:24" ht="33" customHeight="1" x14ac:dyDescent="0.35">
      <c r="A24" s="25" t="s">
        <v>104</v>
      </c>
      <c r="B24" s="176" t="s">
        <v>24</v>
      </c>
      <c r="C24" s="86">
        <v>120781482.23999999</v>
      </c>
      <c r="D24" s="86">
        <f>D25+D26</f>
        <v>0</v>
      </c>
      <c r="E24" s="126">
        <v>126461054</v>
      </c>
      <c r="F24" s="86">
        <f>F25+F26</f>
        <v>23436748.009999998</v>
      </c>
      <c r="G24" s="86">
        <f>G25+G26</f>
        <v>24852527.850000001</v>
      </c>
      <c r="H24" s="86">
        <f>H25+H26</f>
        <v>39085889.070000008</v>
      </c>
      <c r="I24" s="86">
        <f>I25+I26</f>
        <v>39085889.070000008</v>
      </c>
      <c r="J24" s="231"/>
      <c r="K24" s="231"/>
      <c r="L24" s="231"/>
      <c r="M24" s="231"/>
      <c r="N24" s="231"/>
      <c r="O24" s="231"/>
      <c r="P24" s="231"/>
    </row>
    <row r="25" spans="1:24" ht="35.25" customHeight="1" x14ac:dyDescent="0.35">
      <c r="A25" s="20" t="s">
        <v>28</v>
      </c>
      <c r="B25" s="177" t="s">
        <v>29</v>
      </c>
      <c r="C25" s="55">
        <v>116910888.23999999</v>
      </c>
      <c r="D25" s="55"/>
      <c r="E25" s="126">
        <v>126461054</v>
      </c>
      <c r="F25" s="55">
        <v>23436748.009999998</v>
      </c>
      <c r="G25" s="55">
        <f>48289275.86-F25</f>
        <v>24852527.850000001</v>
      </c>
      <c r="H25" s="55">
        <f>(E25-F25-G25)/2</f>
        <v>39085889.070000008</v>
      </c>
      <c r="I25" s="55">
        <f>H25</f>
        <v>39085889.070000008</v>
      </c>
      <c r="J25" s="194" t="s">
        <v>139</v>
      </c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</row>
    <row r="26" spans="1:24" x14ac:dyDescent="0.35">
      <c r="A26" s="17" t="s">
        <v>118</v>
      </c>
      <c r="B26" s="178" t="s">
        <v>30</v>
      </c>
      <c r="C26" s="55">
        <v>3870594</v>
      </c>
      <c r="D26" s="55"/>
      <c r="E26" s="126">
        <v>0</v>
      </c>
      <c r="F26" s="88">
        <v>0</v>
      </c>
      <c r="G26" s="55">
        <f>(E26-F26)/3</f>
        <v>0</v>
      </c>
      <c r="H26" s="55">
        <f>(E26-F26-G26)/2</f>
        <v>0</v>
      </c>
      <c r="I26" s="55">
        <f>H26</f>
        <v>0</v>
      </c>
      <c r="J26" s="179"/>
    </row>
    <row r="27" spans="1:24" ht="18" customHeight="1" x14ac:dyDescent="0.35">
      <c r="A27" s="66" t="s">
        <v>113</v>
      </c>
      <c r="B27" s="180" t="s">
        <v>25</v>
      </c>
      <c r="C27" s="131">
        <v>19156030.66</v>
      </c>
      <c r="D27" s="131">
        <f>D28</f>
        <v>0</v>
      </c>
      <c r="E27" s="127">
        <v>30394268</v>
      </c>
      <c r="F27" s="131">
        <f>F28</f>
        <v>3902506</v>
      </c>
      <c r="G27" s="131">
        <f>G28</f>
        <v>1953955.83</v>
      </c>
      <c r="H27" s="131">
        <f>H28</f>
        <v>12268903.085000001</v>
      </c>
      <c r="I27" s="131">
        <f>I28</f>
        <v>12268903.085000001</v>
      </c>
      <c r="J27" s="196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</row>
    <row r="28" spans="1:24" ht="18" customHeight="1" x14ac:dyDescent="0.35">
      <c r="A28" s="17" t="s">
        <v>119</v>
      </c>
      <c r="B28" s="181" t="s">
        <v>114</v>
      </c>
      <c r="C28" s="91">
        <v>19156030.66</v>
      </c>
      <c r="D28" s="91"/>
      <c r="E28" s="127">
        <v>30394268</v>
      </c>
      <c r="F28" s="91">
        <v>3902506</v>
      </c>
      <c r="G28" s="91">
        <f>5856461.83-F28</f>
        <v>1953955.83</v>
      </c>
      <c r="H28" s="55">
        <f>(E28-F28-G28)/2</f>
        <v>12268903.085000001</v>
      </c>
      <c r="I28" s="91">
        <f>H28</f>
        <v>12268903.085000001</v>
      </c>
      <c r="J28" s="201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</row>
    <row r="29" spans="1:24" ht="18" customHeight="1" x14ac:dyDescent="0.35">
      <c r="A29" s="67" t="s">
        <v>105</v>
      </c>
      <c r="B29" s="144">
        <v>1030</v>
      </c>
      <c r="C29" s="86">
        <v>34919319.377999999</v>
      </c>
      <c r="D29" s="86">
        <f>D30+D31+D32+D33+D34+D35+D36+D37+D38</f>
        <v>0</v>
      </c>
      <c r="E29" s="86">
        <v>10591331.65</v>
      </c>
      <c r="F29" s="86">
        <f>F30+F31+F32+F33+F34+F35+F36+F37+F38</f>
        <v>706768.51</v>
      </c>
      <c r="G29" s="86">
        <f>G30+G31+G32+G33+G34+G35+G36+G37+G38</f>
        <v>17906067.760000002</v>
      </c>
      <c r="H29" s="86">
        <f>H30+H31+H32+H33+H34+H35+H36+H37+H38</f>
        <v>3430966.395</v>
      </c>
      <c r="I29" s="86">
        <f>I30+I31+I32+I33+I34+I35+I36+I37+I38</f>
        <v>3430966.395</v>
      </c>
    </row>
    <row r="30" spans="1:24" ht="31.8" x14ac:dyDescent="0.35">
      <c r="A30" s="61" t="s">
        <v>86</v>
      </c>
      <c r="B30" s="18">
        <v>1031</v>
      </c>
      <c r="C30" s="91">
        <v>0</v>
      </c>
      <c r="D30" s="91"/>
      <c r="E30" s="86">
        <v>0</v>
      </c>
      <c r="F30" s="91">
        <v>0</v>
      </c>
      <c r="G30" s="55">
        <f>(E30-F30)/3</f>
        <v>0</v>
      </c>
      <c r="H30" s="55">
        <f t="shared" ref="H30:H50" si="0">(E30-F30-G30)/2</f>
        <v>0</v>
      </c>
      <c r="I30" s="55">
        <f>H30</f>
        <v>0</v>
      </c>
    </row>
    <row r="31" spans="1:24" ht="31.8" x14ac:dyDescent="0.35">
      <c r="A31" s="61" t="s">
        <v>102</v>
      </c>
      <c r="B31" s="18">
        <v>1032</v>
      </c>
      <c r="C31" s="91">
        <v>929036.29999999993</v>
      </c>
      <c r="D31" s="91"/>
      <c r="E31" s="86">
        <v>480000</v>
      </c>
      <c r="F31" s="91">
        <v>67621</v>
      </c>
      <c r="G31" s="55">
        <f>190063.61-F31</f>
        <v>122442.60999999999</v>
      </c>
      <c r="H31" s="55">
        <f t="shared" si="0"/>
        <v>144968.19500000001</v>
      </c>
      <c r="I31" s="55">
        <f t="shared" ref="I31" si="1">H31</f>
        <v>144968.19500000001</v>
      </c>
      <c r="J31" s="32" t="s">
        <v>103</v>
      </c>
    </row>
    <row r="32" spans="1:24" ht="18" customHeight="1" x14ac:dyDescent="0.35">
      <c r="A32" s="78" t="s">
        <v>16</v>
      </c>
      <c r="B32" s="18">
        <v>1033</v>
      </c>
      <c r="C32" s="91">
        <v>12486680.16</v>
      </c>
      <c r="D32" s="91"/>
      <c r="E32" s="86">
        <v>10040400</v>
      </c>
      <c r="F32" s="91">
        <v>588762.59</v>
      </c>
      <c r="G32" s="55">
        <f>3494409.59-F32</f>
        <v>2905647</v>
      </c>
      <c r="H32" s="55">
        <f t="shared" si="0"/>
        <v>3272995.2050000001</v>
      </c>
      <c r="I32" s="55">
        <f t="shared" ref="I32" si="2">H32</f>
        <v>3272995.2050000001</v>
      </c>
      <c r="J32" s="232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</row>
    <row r="33" spans="1:28" ht="18" customHeight="1" x14ac:dyDescent="0.35">
      <c r="A33" s="61" t="s">
        <v>106</v>
      </c>
      <c r="B33" s="18">
        <v>1034</v>
      </c>
      <c r="C33" s="91">
        <v>0</v>
      </c>
      <c r="D33" s="91"/>
      <c r="E33" s="86">
        <v>0</v>
      </c>
      <c r="F33" s="93">
        <v>0</v>
      </c>
      <c r="G33" s="55">
        <v>0</v>
      </c>
      <c r="H33" s="55">
        <v>0</v>
      </c>
      <c r="I33" s="55">
        <f t="shared" ref="I33" si="3">H33</f>
        <v>0</v>
      </c>
      <c r="J33" s="32" t="s">
        <v>107</v>
      </c>
    </row>
    <row r="34" spans="1:28" ht="18" customHeight="1" x14ac:dyDescent="0.35">
      <c r="A34" s="79" t="s">
        <v>117</v>
      </c>
      <c r="B34" s="18">
        <v>1035</v>
      </c>
      <c r="C34" s="91">
        <v>30548.358</v>
      </c>
      <c r="D34" s="91"/>
      <c r="E34" s="86">
        <v>28399.4</v>
      </c>
      <c r="F34" s="93">
        <v>15149.27</v>
      </c>
      <c r="G34" s="55">
        <f>22237.21-F34</f>
        <v>7087.9399999999987</v>
      </c>
      <c r="H34" s="55">
        <f t="shared" si="0"/>
        <v>3081.0950000000012</v>
      </c>
      <c r="I34" s="55">
        <f t="shared" ref="I34" si="4">H34</f>
        <v>3081.0950000000012</v>
      </c>
      <c r="J34" s="232" t="s">
        <v>134</v>
      </c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</row>
    <row r="35" spans="1:28" ht="18" customHeight="1" x14ac:dyDescent="0.35">
      <c r="A35" s="17" t="s">
        <v>85</v>
      </c>
      <c r="B35" s="18">
        <v>1036</v>
      </c>
      <c r="C35" s="91">
        <v>19915.18</v>
      </c>
      <c r="D35" s="91"/>
      <c r="E35" s="86">
        <v>12922</v>
      </c>
      <c r="F35" s="91">
        <v>8824.36</v>
      </c>
      <c r="G35" s="55">
        <f>13795.25-F35</f>
        <v>4970.8899999999994</v>
      </c>
      <c r="H35" s="55">
        <v>0</v>
      </c>
      <c r="I35" s="55">
        <f t="shared" ref="I35" si="5">H35</f>
        <v>0</v>
      </c>
      <c r="J35" s="32" t="s">
        <v>108</v>
      </c>
    </row>
    <row r="36" spans="1:28" ht="18" customHeight="1" x14ac:dyDescent="0.35">
      <c r="A36" s="61" t="s">
        <v>109</v>
      </c>
      <c r="B36" s="18">
        <v>1037</v>
      </c>
      <c r="C36" s="91">
        <v>7520699.2799999993</v>
      </c>
      <c r="D36" s="91"/>
      <c r="E36" s="86">
        <v>0</v>
      </c>
      <c r="F36" s="91">
        <v>26411.29</v>
      </c>
      <c r="G36" s="55">
        <f>10794272.23-F36</f>
        <v>10767860.940000001</v>
      </c>
      <c r="H36" s="55">
        <v>0</v>
      </c>
      <c r="I36" s="55">
        <v>0</v>
      </c>
    </row>
    <row r="37" spans="1:28" ht="18" customHeight="1" x14ac:dyDescent="0.35">
      <c r="A37" s="61" t="s">
        <v>138</v>
      </c>
      <c r="B37" s="18">
        <v>1038</v>
      </c>
      <c r="C37" s="91">
        <v>40776.369999999995</v>
      </c>
      <c r="D37" s="91"/>
      <c r="E37" s="86">
        <v>29610.25</v>
      </c>
      <c r="F37" s="91">
        <v>0</v>
      </c>
      <c r="G37" s="55">
        <v>9766.4500000000007</v>
      </c>
      <c r="H37" s="55">
        <f t="shared" si="0"/>
        <v>9921.9</v>
      </c>
      <c r="I37" s="55">
        <f t="shared" ref="I37" si="6">H37</f>
        <v>9921.9</v>
      </c>
    </row>
    <row r="38" spans="1:28" s="182" customFormat="1" ht="18" customHeight="1" x14ac:dyDescent="0.35">
      <c r="A38" s="61" t="s">
        <v>140</v>
      </c>
      <c r="B38" s="18">
        <v>1039</v>
      </c>
      <c r="C38" s="18">
        <v>13891663.73</v>
      </c>
      <c r="D38" s="91"/>
      <c r="E38" s="86">
        <v>0</v>
      </c>
      <c r="F38" s="91">
        <v>0</v>
      </c>
      <c r="G38" s="55">
        <f>4088291.93-F38</f>
        <v>4088291.93</v>
      </c>
      <c r="H38" s="55">
        <v>0</v>
      </c>
      <c r="I38" s="55">
        <f t="shared" ref="I38" si="7">H38</f>
        <v>0</v>
      </c>
      <c r="J38" s="32"/>
    </row>
    <row r="39" spans="1:28" ht="18" customHeight="1" x14ac:dyDescent="0.35">
      <c r="A39" s="198" t="s">
        <v>87</v>
      </c>
      <c r="B39" s="199"/>
      <c r="C39" s="199"/>
      <c r="D39" s="199"/>
      <c r="E39" s="199"/>
      <c r="F39" s="199"/>
      <c r="G39" s="199"/>
      <c r="H39" s="199"/>
      <c r="I39" s="200"/>
    </row>
    <row r="40" spans="1:28" ht="18" customHeight="1" x14ac:dyDescent="0.35">
      <c r="A40" s="20" t="s">
        <v>32</v>
      </c>
      <c r="B40" s="21">
        <v>1040</v>
      </c>
      <c r="C40" s="53">
        <v>72565924.200000003</v>
      </c>
      <c r="D40" s="53"/>
      <c r="E40" s="54">
        <v>70141414.909999996</v>
      </c>
      <c r="F40" s="55">
        <v>12848606.949999999</v>
      </c>
      <c r="G40" s="55">
        <f>25838283.74-F40</f>
        <v>12989676.789999999</v>
      </c>
      <c r="H40" s="55">
        <f t="shared" si="0"/>
        <v>22151565.584999997</v>
      </c>
      <c r="I40" s="55">
        <f>H40</f>
        <v>22151565.584999997</v>
      </c>
    </row>
    <row r="41" spans="1:28" ht="18" customHeight="1" x14ac:dyDescent="0.35">
      <c r="A41" s="20" t="s">
        <v>33</v>
      </c>
      <c r="B41" s="23">
        <v>1050</v>
      </c>
      <c r="C41" s="55">
        <v>16152391.32</v>
      </c>
      <c r="D41" s="55"/>
      <c r="E41" s="54">
        <v>15431111</v>
      </c>
      <c r="F41" s="94">
        <v>2806674.7909999997</v>
      </c>
      <c r="G41" s="55">
        <f>5746850.46-F41</f>
        <v>2940175.6690000002</v>
      </c>
      <c r="H41" s="55">
        <f t="shared" si="0"/>
        <v>4842130.2700000005</v>
      </c>
      <c r="I41" s="55">
        <f t="shared" ref="I41" si="8">H41</f>
        <v>4842130.2700000005</v>
      </c>
    </row>
    <row r="42" spans="1:28" ht="18" customHeight="1" x14ac:dyDescent="0.35">
      <c r="A42" s="20" t="s">
        <v>34</v>
      </c>
      <c r="B42" s="23">
        <v>1060</v>
      </c>
      <c r="C42" s="55">
        <v>3744100</v>
      </c>
      <c r="D42" s="55"/>
      <c r="E42" s="54">
        <v>475000</v>
      </c>
      <c r="F42" s="94">
        <v>98390.95</v>
      </c>
      <c r="G42" s="55">
        <f>544675.63-F42</f>
        <v>446284.68</v>
      </c>
      <c r="H42" s="55">
        <v>0</v>
      </c>
      <c r="I42" s="55">
        <f t="shared" ref="I42" si="9">H42</f>
        <v>0</v>
      </c>
    </row>
    <row r="43" spans="1:28" ht="18" customHeight="1" x14ac:dyDescent="0.35">
      <c r="A43" s="20" t="s">
        <v>35</v>
      </c>
      <c r="B43" s="23">
        <v>1070</v>
      </c>
      <c r="C43" s="55">
        <v>53993202.86999999</v>
      </c>
      <c r="D43" s="55"/>
      <c r="E43" s="54">
        <v>30268600.560000002</v>
      </c>
      <c r="F43" s="94">
        <v>3982455.67</v>
      </c>
      <c r="G43" s="55">
        <f>19884287.88-F43</f>
        <v>15901832.209999999</v>
      </c>
      <c r="H43" s="55">
        <f>(E43-F43-G43)/2</f>
        <v>5192156.3400000008</v>
      </c>
      <c r="I43" s="55">
        <f t="shared" ref="I43" si="10">H43</f>
        <v>5192156.3400000008</v>
      </c>
    </row>
    <row r="44" spans="1:28" ht="18" customHeight="1" x14ac:dyDescent="0.35">
      <c r="A44" s="20" t="s">
        <v>36</v>
      </c>
      <c r="B44" s="23">
        <v>1080</v>
      </c>
      <c r="C44" s="55">
        <v>800553.80999999994</v>
      </c>
      <c r="D44" s="55"/>
      <c r="E44" s="54">
        <v>566852</v>
      </c>
      <c r="F44" s="94">
        <v>104170.09</v>
      </c>
      <c r="G44" s="55">
        <f>309572.14-F44</f>
        <v>205402.05000000002</v>
      </c>
      <c r="H44" s="55">
        <f t="shared" si="0"/>
        <v>128639.93000000001</v>
      </c>
      <c r="I44" s="55">
        <f t="shared" ref="I44" si="11">H44</f>
        <v>128639.93000000001</v>
      </c>
    </row>
    <row r="45" spans="1:28" ht="18" customHeight="1" x14ac:dyDescent="0.35">
      <c r="A45" s="20" t="s">
        <v>37</v>
      </c>
      <c r="B45" s="23">
        <v>1090</v>
      </c>
      <c r="C45" s="55">
        <v>11786171.84</v>
      </c>
      <c r="D45" s="55"/>
      <c r="E45" s="54">
        <v>6002000</v>
      </c>
      <c r="F45" s="94">
        <v>903449.5</v>
      </c>
      <c r="G45" s="55">
        <f>1709201.55-F45</f>
        <v>805752.05</v>
      </c>
      <c r="H45" s="55">
        <f t="shared" si="0"/>
        <v>2146399.2250000001</v>
      </c>
      <c r="I45" s="55">
        <f t="shared" ref="I45" si="12">H45</f>
        <v>2146399.2250000001</v>
      </c>
    </row>
    <row r="46" spans="1:28" ht="18" customHeight="1" x14ac:dyDescent="0.35">
      <c r="A46" s="20" t="s">
        <v>38</v>
      </c>
      <c r="B46" s="23">
        <v>1100</v>
      </c>
      <c r="C46" s="55">
        <v>0</v>
      </c>
      <c r="D46" s="55"/>
      <c r="E46" s="54">
        <v>0</v>
      </c>
      <c r="F46" s="94">
        <v>0</v>
      </c>
      <c r="G46" s="55">
        <f t="shared" ref="G46" si="13">-F46</f>
        <v>0</v>
      </c>
      <c r="H46" s="55">
        <f t="shared" si="0"/>
        <v>0</v>
      </c>
      <c r="I46" s="55">
        <f t="shared" ref="I46" si="14">H46</f>
        <v>0</v>
      </c>
    </row>
    <row r="47" spans="1:28" ht="18" customHeight="1" x14ac:dyDescent="0.35">
      <c r="A47" s="20" t="s">
        <v>74</v>
      </c>
      <c r="B47" s="23">
        <v>1110</v>
      </c>
      <c r="C47" s="55">
        <v>8368043.4000000004</v>
      </c>
      <c r="D47" s="55"/>
      <c r="E47" s="54">
        <v>9880181</v>
      </c>
      <c r="F47" s="94">
        <v>8824.36</v>
      </c>
      <c r="G47" s="55">
        <f>4341366.47-F47</f>
        <v>4332542.1099999994</v>
      </c>
      <c r="H47" s="55">
        <f t="shared" si="0"/>
        <v>2769407.2650000006</v>
      </c>
      <c r="I47" s="55">
        <f t="shared" ref="I47" si="15">H47</f>
        <v>2769407.2650000006</v>
      </c>
    </row>
    <row r="48" spans="1:28" ht="36.75" customHeight="1" x14ac:dyDescent="0.35">
      <c r="A48" s="24" t="s">
        <v>39</v>
      </c>
      <c r="B48" s="23">
        <v>1120</v>
      </c>
      <c r="C48" s="55">
        <v>18548</v>
      </c>
      <c r="D48" s="55"/>
      <c r="E48" s="54">
        <v>0</v>
      </c>
      <c r="F48" s="94">
        <v>7900</v>
      </c>
      <c r="G48" s="55">
        <f>22350-F48</f>
        <v>14450</v>
      </c>
      <c r="H48" s="55">
        <v>0</v>
      </c>
      <c r="I48" s="55">
        <f t="shared" ref="I48" si="16">H48</f>
        <v>0</v>
      </c>
    </row>
    <row r="49" spans="1:26" x14ac:dyDescent="0.35">
      <c r="A49" s="24" t="s">
        <v>40</v>
      </c>
      <c r="B49" s="23">
        <v>1130</v>
      </c>
      <c r="C49" s="55">
        <v>960120</v>
      </c>
      <c r="D49" s="55"/>
      <c r="E49" s="54">
        <v>1019600</v>
      </c>
      <c r="F49" s="94">
        <v>105100</v>
      </c>
      <c r="G49" s="55">
        <f>592280-F49</f>
        <v>487180</v>
      </c>
      <c r="H49" s="55">
        <f t="shared" si="0"/>
        <v>213660</v>
      </c>
      <c r="I49" s="55">
        <f t="shared" ref="I49" si="17">H49</f>
        <v>213660</v>
      </c>
    </row>
    <row r="50" spans="1:26" x14ac:dyDescent="0.35">
      <c r="A50" s="20" t="s">
        <v>41</v>
      </c>
      <c r="B50" s="23">
        <v>1140</v>
      </c>
      <c r="C50" s="55">
        <v>1992.97</v>
      </c>
      <c r="D50" s="55"/>
      <c r="E50" s="54">
        <v>169200</v>
      </c>
      <c r="F50" s="94">
        <v>30797.200000000001</v>
      </c>
      <c r="G50" s="55">
        <f>42507.52-F50</f>
        <v>11710.319999999996</v>
      </c>
      <c r="H50" s="55">
        <f t="shared" si="0"/>
        <v>63346.239999999998</v>
      </c>
      <c r="I50" s="55">
        <f t="shared" ref="I50" si="18">H50</f>
        <v>63346.239999999998</v>
      </c>
    </row>
    <row r="51" spans="1:26" x14ac:dyDescent="0.35">
      <c r="A51" s="25" t="s">
        <v>42</v>
      </c>
      <c r="B51" s="26">
        <v>1160</v>
      </c>
      <c r="C51" s="54">
        <v>174856832.278</v>
      </c>
      <c r="D51" s="54">
        <f>D24+D27+D29+D54+D65</f>
        <v>0</v>
      </c>
      <c r="E51" s="54">
        <v>167446653.65000001</v>
      </c>
      <c r="F51" s="54">
        <f>F24+F27+F29+F54+F65</f>
        <v>28046022.52</v>
      </c>
      <c r="G51" s="54">
        <f>G24+G27+G29+G54+G65</f>
        <v>44712551.439999998</v>
      </c>
      <c r="H51" s="54">
        <f>H24+H27+H29+H54+H65</f>
        <v>54785758.550000012</v>
      </c>
      <c r="I51" s="54">
        <f>I24+I27+I29+I54+I65</f>
        <v>54785758.550000012</v>
      </c>
    </row>
    <row r="52" spans="1:26" x14ac:dyDescent="0.35">
      <c r="A52" s="25" t="s">
        <v>43</v>
      </c>
      <c r="B52" s="26">
        <v>1170</v>
      </c>
      <c r="C52" s="54">
        <v>171720327.27999997</v>
      </c>
      <c r="D52" s="54">
        <f>D40+D41+D42+D43+D44+D45+D46+D47+D48+D49+D50+D57+D70</f>
        <v>0</v>
      </c>
      <c r="E52" s="54">
        <v>133953959.47</v>
      </c>
      <c r="F52" s="54">
        <f>F40+F41+F42+F43+F44+F45+F46+F47+F48+F49+F50+F57+F70</f>
        <v>23090706.550999995</v>
      </c>
      <c r="G52" s="54">
        <f>SUM(G40:G50)+G57+G70</f>
        <v>39554747.528999999</v>
      </c>
      <c r="H52" s="54">
        <f>H40+H41+H42+H43+H44+H45+H46+H47+H48+H49+H50+H57+H70</f>
        <v>37507304.854999997</v>
      </c>
      <c r="I52" s="54">
        <f>I40+I41+I42+I43+I44+I45+I46+I47+I48+I49+I50+I57+I70</f>
        <v>37507304.854999997</v>
      </c>
    </row>
    <row r="53" spans="1:26" x14ac:dyDescent="0.35">
      <c r="A53" s="223" t="s">
        <v>51</v>
      </c>
      <c r="B53" s="224"/>
      <c r="C53" s="224"/>
      <c r="D53" s="224"/>
      <c r="E53" s="224"/>
      <c r="F53" s="224"/>
      <c r="G53" s="224"/>
      <c r="H53" s="224"/>
      <c r="I53" s="225"/>
    </row>
    <row r="54" spans="1:26" x14ac:dyDescent="0.35">
      <c r="A54" s="56" t="s">
        <v>91</v>
      </c>
      <c r="B54" s="144">
        <v>2010</v>
      </c>
      <c r="C54" s="86">
        <v>0</v>
      </c>
      <c r="D54" s="86">
        <f>D55</f>
        <v>0</v>
      </c>
      <c r="E54" s="86">
        <f>F54+G54+H54+I54</f>
        <v>0</v>
      </c>
      <c r="F54" s="86">
        <f>F55</f>
        <v>0</v>
      </c>
      <c r="G54" s="86">
        <f>G55</f>
        <v>0</v>
      </c>
      <c r="H54" s="86">
        <f>H55</f>
        <v>0</v>
      </c>
      <c r="I54" s="86">
        <f>I55</f>
        <v>0</v>
      </c>
    </row>
    <row r="55" spans="1:26" ht="36" customHeight="1" x14ac:dyDescent="0.35">
      <c r="A55" s="42" t="s">
        <v>131</v>
      </c>
      <c r="B55" s="18">
        <v>2011</v>
      </c>
      <c r="C55" s="86">
        <v>0</v>
      </c>
      <c r="D55" s="86"/>
      <c r="E55" s="86">
        <f>F55+G55+H55+I55</f>
        <v>0</v>
      </c>
      <c r="F55" s="86">
        <v>0</v>
      </c>
      <c r="G55" s="86">
        <v>0</v>
      </c>
      <c r="H55" s="86">
        <v>0</v>
      </c>
      <c r="I55" s="86">
        <v>0</v>
      </c>
      <c r="J55" s="192" t="s">
        <v>135</v>
      </c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</row>
    <row r="56" spans="1:26" ht="18" customHeight="1" x14ac:dyDescent="0.35">
      <c r="A56" s="42" t="s">
        <v>94</v>
      </c>
      <c r="B56" s="18">
        <v>2012</v>
      </c>
      <c r="C56" s="86">
        <v>0</v>
      </c>
      <c r="D56" s="86"/>
      <c r="E56" s="86">
        <f>F56+G56+H56+I56</f>
        <v>0</v>
      </c>
      <c r="F56" s="86">
        <v>0</v>
      </c>
      <c r="G56" s="86">
        <v>0</v>
      </c>
      <c r="H56" s="86">
        <v>0</v>
      </c>
      <c r="I56" s="86">
        <v>0</v>
      </c>
      <c r="J56" s="217" t="s">
        <v>136</v>
      </c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</row>
    <row r="57" spans="1:26" ht="18" customHeight="1" x14ac:dyDescent="0.35">
      <c r="A57" s="72" t="s">
        <v>124</v>
      </c>
      <c r="B57" s="70">
        <v>3010</v>
      </c>
      <c r="C57" s="95">
        <v>3329278.87</v>
      </c>
      <c r="D57" s="95">
        <f>D58+D59+D60+D61+D62+D63</f>
        <v>0</v>
      </c>
      <c r="E57" s="95">
        <f>F57+G57+H57+I57</f>
        <v>3614078.6900000004</v>
      </c>
      <c r="F57" s="95">
        <f>F58+F59+F60+F61+F62+F63</f>
        <v>2194337.04</v>
      </c>
      <c r="G57" s="95">
        <f>G58+G59+G60+G61+G62+G63</f>
        <v>1419741.6500000001</v>
      </c>
      <c r="H57" s="95">
        <f>H58+H59+H60+H61+H62+H63</f>
        <v>0</v>
      </c>
      <c r="I57" s="95">
        <f>I58+I59+I60+I61+I62+I63</f>
        <v>0</v>
      </c>
      <c r="J57" s="235" t="s">
        <v>137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</row>
    <row r="58" spans="1:26" x14ac:dyDescent="0.35">
      <c r="A58" s="20" t="s">
        <v>52</v>
      </c>
      <c r="B58" s="23">
        <v>3011</v>
      </c>
      <c r="C58" s="55">
        <v>2415821.7400000002</v>
      </c>
      <c r="D58" s="55"/>
      <c r="E58" s="54">
        <f t="shared" ref="E58:E63" si="19">F58+G58+H58+I58</f>
        <v>0</v>
      </c>
      <c r="F58" s="94">
        <v>0</v>
      </c>
      <c r="G58" s="111">
        <v>0</v>
      </c>
      <c r="H58" s="111">
        <v>0</v>
      </c>
      <c r="I58" s="111">
        <f>H58</f>
        <v>0</v>
      </c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</row>
    <row r="59" spans="1:26" x14ac:dyDescent="0.35">
      <c r="A59" s="20" t="s">
        <v>125</v>
      </c>
      <c r="B59" s="23">
        <v>3012</v>
      </c>
      <c r="C59" s="55">
        <v>344037.31</v>
      </c>
      <c r="D59" s="55"/>
      <c r="E59" s="54">
        <f t="shared" si="19"/>
        <v>3502650.85</v>
      </c>
      <c r="F59" s="94">
        <v>2194337.04</v>
      </c>
      <c r="G59" s="111">
        <f>3502650.85-F59</f>
        <v>1308313.81</v>
      </c>
      <c r="H59" s="111">
        <v>0</v>
      </c>
      <c r="I59" s="111">
        <f t="shared" ref="I59:I63" si="20">H59</f>
        <v>0</v>
      </c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</row>
    <row r="60" spans="1:26" x14ac:dyDescent="0.35">
      <c r="A60" s="20" t="s">
        <v>126</v>
      </c>
      <c r="B60" s="23">
        <v>3013</v>
      </c>
      <c r="C60" s="55">
        <v>0</v>
      </c>
      <c r="D60" s="55"/>
      <c r="E60" s="54">
        <f t="shared" si="19"/>
        <v>111315.28</v>
      </c>
      <c r="F60" s="94">
        <v>0</v>
      </c>
      <c r="G60" s="111">
        <v>111315.28</v>
      </c>
      <c r="H60" s="111">
        <v>0</v>
      </c>
      <c r="I60" s="111">
        <f t="shared" si="20"/>
        <v>0</v>
      </c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</row>
    <row r="61" spans="1:26" x14ac:dyDescent="0.35">
      <c r="A61" s="20" t="s">
        <v>127</v>
      </c>
      <c r="B61" s="23">
        <v>3014</v>
      </c>
      <c r="C61" s="55">
        <v>17517</v>
      </c>
      <c r="D61" s="55"/>
      <c r="E61" s="54">
        <f t="shared" si="19"/>
        <v>112.56</v>
      </c>
      <c r="F61" s="94">
        <v>0</v>
      </c>
      <c r="G61" s="111">
        <v>112.56</v>
      </c>
      <c r="H61" s="111">
        <v>0</v>
      </c>
      <c r="I61" s="111">
        <f t="shared" si="20"/>
        <v>0</v>
      </c>
    </row>
    <row r="62" spans="1:26" ht="36" customHeight="1" x14ac:dyDescent="0.35">
      <c r="A62" s="20" t="s">
        <v>53</v>
      </c>
      <c r="B62" s="23">
        <v>3015</v>
      </c>
      <c r="C62" s="55">
        <v>0</v>
      </c>
      <c r="D62" s="55"/>
      <c r="E62" s="54">
        <f t="shared" si="19"/>
        <v>0</v>
      </c>
      <c r="F62" s="94">
        <v>0</v>
      </c>
      <c r="G62" s="111">
        <v>0</v>
      </c>
      <c r="H62" s="111">
        <v>0</v>
      </c>
      <c r="I62" s="111">
        <f t="shared" si="20"/>
        <v>0</v>
      </c>
    </row>
    <row r="63" spans="1:26" x14ac:dyDescent="0.35">
      <c r="A63" s="20" t="s">
        <v>17</v>
      </c>
      <c r="B63" s="23">
        <v>3016</v>
      </c>
      <c r="C63" s="55">
        <v>551902.82000000007</v>
      </c>
      <c r="D63" s="55"/>
      <c r="E63" s="54">
        <f t="shared" si="19"/>
        <v>0</v>
      </c>
      <c r="F63" s="94">
        <v>0</v>
      </c>
      <c r="G63" s="111">
        <v>0</v>
      </c>
      <c r="H63" s="111">
        <v>0</v>
      </c>
      <c r="I63" s="111">
        <f t="shared" si="20"/>
        <v>0</v>
      </c>
    </row>
    <row r="64" spans="1:26" ht="16.95" customHeight="1" x14ac:dyDescent="0.35">
      <c r="A64" s="223" t="s">
        <v>55</v>
      </c>
      <c r="B64" s="224"/>
      <c r="C64" s="224"/>
      <c r="D64" s="224"/>
      <c r="E64" s="224"/>
      <c r="F64" s="224"/>
      <c r="G64" s="224"/>
      <c r="H64" s="224"/>
      <c r="I64" s="226"/>
    </row>
    <row r="65" spans="1:10" ht="16.95" customHeight="1" x14ac:dyDescent="0.35">
      <c r="A65" s="28" t="s">
        <v>56</v>
      </c>
      <c r="B65" s="144">
        <v>4010</v>
      </c>
      <c r="C65" s="96">
        <f>C66+C67+C68+C69</f>
        <v>0</v>
      </c>
      <c r="D65" s="96">
        <f>D66+D67+D68+D69</f>
        <v>0</v>
      </c>
      <c r="E65" s="54">
        <f>F65+G65+H65+I65</f>
        <v>0</v>
      </c>
      <c r="F65" s="96">
        <f>F66+F67+F68+F69</f>
        <v>0</v>
      </c>
      <c r="G65" s="96">
        <f>G66+G67+G68+G69</f>
        <v>0</v>
      </c>
      <c r="H65" s="96">
        <f>H66+H67+H68+H69</f>
        <v>0</v>
      </c>
      <c r="I65" s="96">
        <f>I66+I67+I68+I69</f>
        <v>0</v>
      </c>
    </row>
    <row r="66" spans="1:10" ht="16.95" customHeight="1" x14ac:dyDescent="0.35">
      <c r="A66" s="20" t="s">
        <v>57</v>
      </c>
      <c r="B66" s="21">
        <v>4011</v>
      </c>
      <c r="C66" s="55"/>
      <c r="D66" s="55"/>
      <c r="E66" s="54">
        <f t="shared" ref="E66:E73" si="21">F66+G66+H66+I66</f>
        <v>0</v>
      </c>
      <c r="F66" s="94"/>
      <c r="G66" s="111"/>
      <c r="H66" s="111"/>
      <c r="I66" s="111"/>
    </row>
    <row r="67" spans="1:10" ht="16.95" customHeight="1" x14ac:dyDescent="0.35">
      <c r="A67" s="20" t="s">
        <v>58</v>
      </c>
      <c r="B67" s="23">
        <v>4012</v>
      </c>
      <c r="C67" s="55"/>
      <c r="D67" s="55"/>
      <c r="E67" s="54">
        <f t="shared" si="21"/>
        <v>0</v>
      </c>
      <c r="F67" s="94"/>
      <c r="G67" s="111"/>
      <c r="H67" s="111"/>
      <c r="I67" s="111"/>
    </row>
    <row r="68" spans="1:10" ht="16.95" customHeight="1" x14ac:dyDescent="0.35">
      <c r="A68" s="20" t="s">
        <v>59</v>
      </c>
      <c r="B68" s="23">
        <v>4013</v>
      </c>
      <c r="C68" s="55"/>
      <c r="D68" s="55"/>
      <c r="E68" s="54">
        <f t="shared" si="21"/>
        <v>0</v>
      </c>
      <c r="F68" s="94"/>
      <c r="G68" s="111"/>
      <c r="H68" s="111"/>
      <c r="I68" s="111"/>
    </row>
    <row r="69" spans="1:10" ht="16.95" customHeight="1" x14ac:dyDescent="0.35">
      <c r="A69" s="20" t="s">
        <v>60</v>
      </c>
      <c r="B69" s="23">
        <v>4020</v>
      </c>
      <c r="C69" s="55"/>
      <c r="D69" s="55"/>
      <c r="E69" s="54">
        <f t="shared" si="21"/>
        <v>0</v>
      </c>
      <c r="F69" s="94"/>
      <c r="G69" s="111"/>
      <c r="H69" s="111"/>
      <c r="I69" s="111"/>
    </row>
    <row r="70" spans="1:10" x14ac:dyDescent="0.35">
      <c r="A70" s="25" t="s">
        <v>61</v>
      </c>
      <c r="B70" s="26">
        <v>4030</v>
      </c>
      <c r="C70" s="54">
        <f>C71+C72+C73+C74</f>
        <v>0</v>
      </c>
      <c r="D70" s="54">
        <f>D71+D72+D73+D74</f>
        <v>0</v>
      </c>
      <c r="E70" s="54">
        <f>F70+G70+H70+I70</f>
        <v>0</v>
      </c>
      <c r="F70" s="54">
        <f>F71+F72+F73+F74</f>
        <v>0</v>
      </c>
      <c r="G70" s="54">
        <f>G71+G72+G73+G74</f>
        <v>0</v>
      </c>
      <c r="H70" s="54">
        <f>H71+H72+H73+H74</f>
        <v>0</v>
      </c>
      <c r="I70" s="54">
        <f>I71+I72+I73+I74</f>
        <v>0</v>
      </c>
    </row>
    <row r="71" spans="1:10" x14ac:dyDescent="0.35">
      <c r="A71" s="20" t="s">
        <v>57</v>
      </c>
      <c r="B71" s="23">
        <v>4031</v>
      </c>
      <c r="C71" s="55"/>
      <c r="D71" s="55"/>
      <c r="E71" s="54">
        <f t="shared" si="21"/>
        <v>0</v>
      </c>
      <c r="F71" s="94"/>
      <c r="G71" s="111"/>
      <c r="H71" s="111"/>
      <c r="I71" s="111"/>
    </row>
    <row r="72" spans="1:10" x14ac:dyDescent="0.35">
      <c r="A72" s="20" t="s">
        <v>58</v>
      </c>
      <c r="B72" s="23">
        <v>4032</v>
      </c>
      <c r="C72" s="55"/>
      <c r="D72" s="55"/>
      <c r="E72" s="54">
        <f t="shared" si="21"/>
        <v>0</v>
      </c>
      <c r="F72" s="94"/>
      <c r="G72" s="111"/>
      <c r="H72" s="111"/>
      <c r="I72" s="111"/>
    </row>
    <row r="73" spans="1:10" x14ac:dyDescent="0.35">
      <c r="A73" s="20" t="s">
        <v>59</v>
      </c>
      <c r="B73" s="23">
        <v>4033</v>
      </c>
      <c r="C73" s="55"/>
      <c r="D73" s="55"/>
      <c r="E73" s="54">
        <f t="shared" si="21"/>
        <v>0</v>
      </c>
      <c r="F73" s="94"/>
      <c r="G73" s="111"/>
      <c r="H73" s="111"/>
      <c r="I73" s="111"/>
    </row>
    <row r="74" spans="1:10" x14ac:dyDescent="0.35">
      <c r="A74" s="24" t="s">
        <v>62</v>
      </c>
      <c r="B74" s="23">
        <v>4040</v>
      </c>
      <c r="C74" s="55"/>
      <c r="D74" s="55"/>
      <c r="E74" s="54">
        <f>F74+G74+H74+I74</f>
        <v>0</v>
      </c>
      <c r="F74" s="94"/>
      <c r="G74" s="111"/>
      <c r="H74" s="111"/>
      <c r="I74" s="111"/>
    </row>
    <row r="75" spans="1:10" x14ac:dyDescent="0.35">
      <c r="A75" s="227" t="s">
        <v>95</v>
      </c>
      <c r="B75" s="228"/>
      <c r="C75" s="228"/>
      <c r="D75" s="228"/>
      <c r="E75" s="228"/>
      <c r="F75" s="228"/>
      <c r="G75" s="228"/>
      <c r="H75" s="228"/>
      <c r="I75" s="229"/>
    </row>
    <row r="76" spans="1:10" x14ac:dyDescent="0.35">
      <c r="A76" s="183" t="s">
        <v>88</v>
      </c>
      <c r="B76" s="144">
        <v>5010</v>
      </c>
      <c r="C76" s="86">
        <f>C51-C52</f>
        <v>3136504.9980000257</v>
      </c>
      <c r="D76" s="86">
        <f>D51-D52</f>
        <v>0</v>
      </c>
      <c r="E76" s="54">
        <f>F76+G76+H76+I76</f>
        <v>44670027.270000033</v>
      </c>
      <c r="F76" s="86">
        <f>F51-F52</f>
        <v>4955315.9690000042</v>
      </c>
      <c r="G76" s="86">
        <f>G51-G52</f>
        <v>5157803.9109999985</v>
      </c>
      <c r="H76" s="86">
        <f>H51-H52</f>
        <v>17278453.695000015</v>
      </c>
      <c r="I76" s="86">
        <f>I51-I52</f>
        <v>17278453.695000015</v>
      </c>
      <c r="J76" s="184" t="s">
        <v>120</v>
      </c>
    </row>
    <row r="77" spans="1:10" x14ac:dyDescent="0.35">
      <c r="A77" s="185" t="s">
        <v>89</v>
      </c>
      <c r="B77" s="18">
        <v>5011</v>
      </c>
      <c r="C77" s="86">
        <f>C76-C78</f>
        <v>3136504.9980000257</v>
      </c>
      <c r="D77" s="86">
        <f>D76-D78</f>
        <v>0</v>
      </c>
      <c r="E77" s="54">
        <v>33492694.180000003</v>
      </c>
      <c r="F77" s="86">
        <f>F76-F78</f>
        <v>4955315.9690000042</v>
      </c>
      <c r="G77" s="86">
        <f>G76-G78</f>
        <v>5157803.9109999985</v>
      </c>
      <c r="H77" s="86">
        <f>H76-H78</f>
        <v>17278453.695000015</v>
      </c>
      <c r="I77" s="86">
        <f>I76-I78</f>
        <v>17278453.695000015</v>
      </c>
    </row>
    <row r="78" spans="1:10" x14ac:dyDescent="0.35">
      <c r="A78" s="186" t="s">
        <v>90</v>
      </c>
      <c r="B78" s="18">
        <v>5012</v>
      </c>
      <c r="C78" s="86">
        <v>0</v>
      </c>
      <c r="D78" s="86">
        <v>0</v>
      </c>
      <c r="E78" s="54">
        <f>F78+G78+H78+I78</f>
        <v>0</v>
      </c>
      <c r="F78" s="86">
        <v>0</v>
      </c>
      <c r="G78" s="112">
        <v>0</v>
      </c>
      <c r="H78" s="112">
        <v>0</v>
      </c>
      <c r="I78" s="112">
        <v>0</v>
      </c>
      <c r="J78" s="32" t="s">
        <v>121</v>
      </c>
    </row>
    <row r="79" spans="1:10" x14ac:dyDescent="0.35">
      <c r="A79" s="223" t="s">
        <v>96</v>
      </c>
      <c r="B79" s="224"/>
      <c r="C79" s="224"/>
      <c r="D79" s="224"/>
      <c r="E79" s="224"/>
      <c r="F79" s="224"/>
      <c r="G79" s="224"/>
      <c r="H79" s="224"/>
      <c r="I79" s="225"/>
    </row>
    <row r="80" spans="1:10" x14ac:dyDescent="0.35">
      <c r="A80" s="56" t="s">
        <v>50</v>
      </c>
      <c r="B80" s="144">
        <v>6010</v>
      </c>
      <c r="C80" s="86">
        <v>33363830.100000001</v>
      </c>
      <c r="D80" s="86">
        <f>D81+D82+D83+D84+D85+D86</f>
        <v>0</v>
      </c>
      <c r="E80" s="86">
        <v>29108686.899999999</v>
      </c>
      <c r="F80" s="86">
        <f>F81+F82+F83+F84+F85+F86</f>
        <v>5046252.76</v>
      </c>
      <c r="G80" s="86">
        <f>G81+G82+G83+G84+G85+G86</f>
        <v>5710201.5899999999</v>
      </c>
      <c r="H80" s="86">
        <f>H81+H82+H83+H84+H85+H86</f>
        <v>9176116.2750000004</v>
      </c>
      <c r="I80" s="86">
        <f>I81+I82+I83+I84+I85+I86</f>
        <v>9176116.2750000004</v>
      </c>
    </row>
    <row r="81" spans="1:11" x14ac:dyDescent="0.35">
      <c r="A81" s="39" t="s">
        <v>44</v>
      </c>
      <c r="B81" s="21">
        <v>6011</v>
      </c>
      <c r="C81" s="53">
        <v>0</v>
      </c>
      <c r="D81" s="53"/>
      <c r="E81" s="86">
        <v>0</v>
      </c>
      <c r="F81" s="94">
        <v>0</v>
      </c>
      <c r="G81" s="55">
        <f t="shared" ref="G81:G86" si="22">(E81-F81)/3</f>
        <v>0</v>
      </c>
      <c r="H81" s="55">
        <f t="shared" ref="H81:H86" si="23">(E81-F81-G81)/2</f>
        <v>0</v>
      </c>
      <c r="I81" s="55">
        <f t="shared" ref="I81" si="24">H81</f>
        <v>0</v>
      </c>
      <c r="K81" s="187"/>
    </row>
    <row r="82" spans="1:11" x14ac:dyDescent="0.35">
      <c r="A82" s="27" t="s">
        <v>45</v>
      </c>
      <c r="B82" s="21">
        <v>6012</v>
      </c>
      <c r="C82" s="55">
        <v>1032532.06</v>
      </c>
      <c r="D82" s="55"/>
      <c r="E82" s="86">
        <v>1052121.22</v>
      </c>
      <c r="F82" s="94">
        <v>181930.81</v>
      </c>
      <c r="G82" s="55">
        <v>205674.97</v>
      </c>
      <c r="H82" s="55">
        <f t="shared" si="23"/>
        <v>332257.71999999997</v>
      </c>
      <c r="I82" s="55">
        <f t="shared" ref="I82" si="25">H82</f>
        <v>332257.71999999997</v>
      </c>
      <c r="K82" s="187"/>
    </row>
    <row r="83" spans="1:11" x14ac:dyDescent="0.35">
      <c r="A83" s="27" t="s">
        <v>46</v>
      </c>
      <c r="B83" s="21">
        <v>6013</v>
      </c>
      <c r="C83" s="55">
        <v>5312.81</v>
      </c>
      <c r="D83" s="55"/>
      <c r="E83" s="86">
        <v>0</v>
      </c>
      <c r="F83" s="94">
        <v>0</v>
      </c>
      <c r="G83" s="55">
        <f t="shared" si="22"/>
        <v>0</v>
      </c>
      <c r="H83" s="55">
        <f t="shared" si="23"/>
        <v>0</v>
      </c>
      <c r="I83" s="55">
        <f t="shared" ref="I83" si="26">H83</f>
        <v>0</v>
      </c>
    </row>
    <row r="84" spans="1:11" x14ac:dyDescent="0.35">
      <c r="A84" s="27" t="s">
        <v>47</v>
      </c>
      <c r="B84" s="21">
        <v>6014</v>
      </c>
      <c r="C84" s="55">
        <v>12367844.850000001</v>
      </c>
      <c r="D84" s="55"/>
      <c r="E84" s="86">
        <v>12625454.68</v>
      </c>
      <c r="F84" s="94">
        <v>2183168.5</v>
      </c>
      <c r="G84" s="55">
        <v>2438829.61</v>
      </c>
      <c r="H84" s="55">
        <f t="shared" si="23"/>
        <v>4001728.2850000001</v>
      </c>
      <c r="I84" s="55">
        <f t="shared" ref="I84" si="27">H84</f>
        <v>4001728.2850000001</v>
      </c>
    </row>
    <row r="85" spans="1:11" x14ac:dyDescent="0.35">
      <c r="A85" s="71" t="s">
        <v>48</v>
      </c>
      <c r="B85" s="21">
        <v>6015</v>
      </c>
      <c r="C85" s="98">
        <v>19958140.379999999</v>
      </c>
      <c r="D85" s="98"/>
      <c r="E85" s="86">
        <v>15431111</v>
      </c>
      <c r="F85" s="94">
        <v>2681153.4500000002</v>
      </c>
      <c r="G85" s="55">
        <v>3065697.01</v>
      </c>
      <c r="H85" s="55">
        <f t="shared" si="23"/>
        <v>4842130.2700000005</v>
      </c>
      <c r="I85" s="55">
        <f t="shared" ref="I85" si="28">H85</f>
        <v>4842130.2700000005</v>
      </c>
    </row>
    <row r="86" spans="1:11" x14ac:dyDescent="0.35">
      <c r="A86" s="29" t="s">
        <v>49</v>
      </c>
      <c r="B86" s="21">
        <v>6016</v>
      </c>
      <c r="C86" s="91">
        <v>0</v>
      </c>
      <c r="D86" s="91"/>
      <c r="E86" s="86">
        <v>0</v>
      </c>
      <c r="F86" s="94">
        <v>0</v>
      </c>
      <c r="G86" s="55">
        <f t="shared" si="22"/>
        <v>0</v>
      </c>
      <c r="H86" s="55">
        <f t="shared" si="23"/>
        <v>0</v>
      </c>
      <c r="I86" s="55">
        <f t="shared" ref="I86" si="29">H86</f>
        <v>0</v>
      </c>
    </row>
    <row r="87" spans="1:11" ht="22.2" customHeight="1" x14ac:dyDescent="0.35">
      <c r="A87" s="198" t="s">
        <v>97</v>
      </c>
      <c r="B87" s="199"/>
      <c r="C87" s="199"/>
      <c r="D87" s="199"/>
      <c r="E87" s="199"/>
      <c r="F87" s="199"/>
      <c r="G87" s="199"/>
      <c r="H87" s="199"/>
      <c r="I87" s="200"/>
    </row>
    <row r="88" spans="1:11" x14ac:dyDescent="0.35">
      <c r="A88" s="42" t="s">
        <v>76</v>
      </c>
      <c r="B88" s="21">
        <v>7010</v>
      </c>
      <c r="C88" s="31"/>
      <c r="D88" s="31"/>
      <c r="E88" s="123"/>
      <c r="F88" s="31">
        <v>357</v>
      </c>
      <c r="G88" s="31">
        <v>357</v>
      </c>
      <c r="H88" s="31"/>
      <c r="I88" s="31"/>
    </row>
    <row r="89" spans="1:11" x14ac:dyDescent="0.35">
      <c r="A89" s="42"/>
      <c r="B89" s="21"/>
      <c r="C89" s="31"/>
      <c r="D89" s="31"/>
      <c r="E89" s="123"/>
      <c r="F89" s="31" t="s">
        <v>98</v>
      </c>
      <c r="G89" s="31" t="s">
        <v>100</v>
      </c>
      <c r="H89" s="31" t="s">
        <v>101</v>
      </c>
      <c r="I89" s="31" t="s">
        <v>99</v>
      </c>
      <c r="J89" s="184" t="s">
        <v>132</v>
      </c>
    </row>
    <row r="90" spans="1:11" x14ac:dyDescent="0.35">
      <c r="A90" s="42" t="s">
        <v>54</v>
      </c>
      <c r="B90" s="23">
        <v>7011</v>
      </c>
      <c r="C90" s="15">
        <v>79085992.590000004</v>
      </c>
      <c r="D90" s="15"/>
      <c r="E90" s="13"/>
      <c r="F90" s="55">
        <v>74944067.280000001</v>
      </c>
      <c r="G90" s="55">
        <v>80087767.670000002</v>
      </c>
      <c r="H90" s="15"/>
      <c r="I90" s="22"/>
    </row>
    <row r="91" spans="1:11" x14ac:dyDescent="0.35">
      <c r="A91" s="42" t="s">
        <v>77</v>
      </c>
      <c r="B91" s="23">
        <v>7012</v>
      </c>
      <c r="C91" s="15"/>
      <c r="D91" s="15"/>
      <c r="E91" s="13"/>
      <c r="F91" s="94">
        <v>0</v>
      </c>
      <c r="G91" s="111">
        <v>0</v>
      </c>
      <c r="H91" s="113"/>
      <c r="I91" s="113"/>
    </row>
    <row r="92" spans="1:11" x14ac:dyDescent="0.35">
      <c r="A92" s="42" t="s">
        <v>78</v>
      </c>
      <c r="B92" s="23">
        <v>7013</v>
      </c>
      <c r="C92" s="15"/>
      <c r="D92" s="15"/>
      <c r="E92" s="13"/>
      <c r="F92" s="94">
        <v>0</v>
      </c>
      <c r="G92" s="111">
        <v>0</v>
      </c>
      <c r="H92" s="113"/>
      <c r="I92" s="113"/>
    </row>
    <row r="93" spans="1:11" x14ac:dyDescent="0.35">
      <c r="A93" s="42" t="s">
        <v>79</v>
      </c>
      <c r="B93" s="46">
        <v>7016</v>
      </c>
      <c r="C93" s="47"/>
      <c r="D93" s="47"/>
      <c r="E93" s="124"/>
      <c r="F93" s="94">
        <v>3631904</v>
      </c>
      <c r="G93" s="110">
        <v>6631199.8700000001</v>
      </c>
      <c r="H93" s="114"/>
      <c r="I93" s="114"/>
    </row>
    <row r="94" spans="1:11" s="188" customFormat="1" x14ac:dyDescent="0.35">
      <c r="A94" s="42" t="s">
        <v>80</v>
      </c>
      <c r="B94" s="18">
        <v>7020</v>
      </c>
      <c r="C94" s="145"/>
      <c r="D94" s="145"/>
      <c r="E94" s="145"/>
      <c r="F94" s="91">
        <v>75309.19</v>
      </c>
      <c r="G94" s="111">
        <v>4040270.28</v>
      </c>
      <c r="H94" s="113"/>
      <c r="I94" s="115"/>
    </row>
    <row r="95" spans="1:11" x14ac:dyDescent="0.35">
      <c r="A95" s="44"/>
      <c r="B95" s="143"/>
      <c r="C95" s="41"/>
      <c r="D95" s="41"/>
      <c r="E95" s="125"/>
      <c r="F95" s="41"/>
      <c r="G95" s="116"/>
      <c r="H95" s="116"/>
      <c r="I95" s="116"/>
    </row>
    <row r="96" spans="1:11" x14ac:dyDescent="0.35">
      <c r="A96" s="33" t="s">
        <v>18</v>
      </c>
      <c r="B96" s="34"/>
      <c r="C96" s="140"/>
      <c r="D96" s="117"/>
      <c r="E96" s="230" t="s">
        <v>141</v>
      </c>
      <c r="F96" s="230"/>
      <c r="G96" s="118"/>
    </row>
    <row r="97" spans="1:8" x14ac:dyDescent="0.35">
      <c r="A97" s="33"/>
      <c r="B97" s="34"/>
      <c r="C97" s="139" t="s">
        <v>19</v>
      </c>
      <c r="D97" s="222" t="s">
        <v>20</v>
      </c>
      <c r="E97" s="222"/>
      <c r="F97" s="222"/>
    </row>
    <row r="98" spans="1:8" x14ac:dyDescent="0.35">
      <c r="A98" s="33" t="s">
        <v>21</v>
      </c>
      <c r="B98" s="34"/>
      <c r="C98" s="140"/>
      <c r="D98" s="189"/>
      <c r="E98" s="230" t="s">
        <v>149</v>
      </c>
      <c r="F98" s="230"/>
    </row>
    <row r="99" spans="1:8" ht="13.95" customHeight="1" x14ac:dyDescent="0.35">
      <c r="A99" s="33"/>
      <c r="B99" s="34"/>
      <c r="C99" s="139" t="s">
        <v>19</v>
      </c>
      <c r="D99" s="222" t="s">
        <v>20</v>
      </c>
      <c r="E99" s="222"/>
      <c r="F99" s="222"/>
    </row>
    <row r="100" spans="1:8" ht="13.95" customHeight="1" x14ac:dyDescent="0.35"/>
    <row r="101" spans="1:8" ht="13.95" customHeight="1" x14ac:dyDescent="0.35"/>
    <row r="102" spans="1:8" x14ac:dyDescent="0.35">
      <c r="A102" s="147"/>
      <c r="B102" s="147"/>
      <c r="C102" s="128"/>
      <c r="D102" s="128"/>
      <c r="E102" s="191"/>
      <c r="F102" s="128"/>
      <c r="G102" s="128"/>
      <c r="H102" s="128"/>
    </row>
    <row r="103" spans="1:8" x14ac:dyDescent="0.35">
      <c r="A103" s="147"/>
      <c r="B103" s="147"/>
      <c r="C103" s="128"/>
      <c r="D103" s="128"/>
      <c r="E103" s="191"/>
      <c r="F103" s="128"/>
      <c r="G103" s="128"/>
      <c r="H103" s="128"/>
    </row>
    <row r="104" spans="1:8" x14ac:dyDescent="0.35">
      <c r="A104" s="147"/>
      <c r="B104" s="147"/>
      <c r="C104" s="128"/>
      <c r="D104" s="128"/>
      <c r="E104" s="191"/>
      <c r="F104" s="128"/>
      <c r="G104" s="128"/>
      <c r="H104" s="128"/>
    </row>
    <row r="105" spans="1:8" x14ac:dyDescent="0.35">
      <c r="A105" s="147"/>
      <c r="B105" s="147"/>
      <c r="C105" s="128"/>
      <c r="D105" s="128"/>
      <c r="E105" s="191"/>
      <c r="F105" s="128"/>
      <c r="G105" s="128"/>
      <c r="H105" s="128"/>
    </row>
    <row r="106" spans="1:8" x14ac:dyDescent="0.35">
      <c r="A106" s="147"/>
      <c r="B106" s="147"/>
      <c r="C106" s="128"/>
      <c r="D106" s="128"/>
      <c r="E106" s="191"/>
      <c r="F106" s="128"/>
      <c r="G106" s="128"/>
      <c r="H106" s="128"/>
    </row>
    <row r="107" spans="1:8" x14ac:dyDescent="0.35">
      <c r="A107" s="147"/>
      <c r="B107" s="147"/>
      <c r="C107" s="128"/>
      <c r="D107" s="128"/>
      <c r="E107" s="191"/>
      <c r="F107" s="128"/>
      <c r="G107" s="128"/>
      <c r="H107" s="128"/>
    </row>
  </sheetData>
  <mergeCells count="37">
    <mergeCell ref="J56:Z56"/>
    <mergeCell ref="A22:I22"/>
    <mergeCell ref="A23:I23"/>
    <mergeCell ref="D99:F99"/>
    <mergeCell ref="A53:I53"/>
    <mergeCell ref="A64:I64"/>
    <mergeCell ref="A75:I75"/>
    <mergeCell ref="A79:I79"/>
    <mergeCell ref="A87:I87"/>
    <mergeCell ref="E96:F96"/>
    <mergeCell ref="J24:P24"/>
    <mergeCell ref="D97:F97"/>
    <mergeCell ref="E98:F98"/>
    <mergeCell ref="J34:AB34"/>
    <mergeCell ref="J32:X32"/>
    <mergeCell ref="J57:Z60"/>
    <mergeCell ref="D12:F12"/>
    <mergeCell ref="D2:I2"/>
    <mergeCell ref="D4:I4"/>
    <mergeCell ref="D5:I5"/>
    <mergeCell ref="D6:I6"/>
    <mergeCell ref="D7:I7"/>
    <mergeCell ref="F19:I19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J55:Z55"/>
    <mergeCell ref="J25:X25"/>
    <mergeCell ref="J27:X27"/>
    <mergeCell ref="A39:I39"/>
    <mergeCell ref="J28:X28"/>
  </mergeCells>
  <pageMargins left="0.55118110236220474" right="0.23622047244094491" top="0.19685039370078741" bottom="0.19685039370078741" header="0.19685039370078741" footer="0"/>
  <pageSetup paperSize="9" scale="6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91"/>
  <sheetViews>
    <sheetView tabSelected="1" topLeftCell="B1" zoomScale="89" zoomScaleNormal="89" workbookViewId="0">
      <selection activeCell="K78" sqref="K78"/>
    </sheetView>
  </sheetViews>
  <sheetFormatPr defaultColWidth="9.109375" defaultRowHeight="18" x14ac:dyDescent="0.35"/>
  <cols>
    <col min="1" max="1" width="80.6640625" style="8" customWidth="1"/>
    <col min="2" max="2" width="7.109375" style="8" customWidth="1"/>
    <col min="3" max="3" width="20.6640625" style="37" customWidth="1"/>
    <col min="4" max="6" width="20.6640625" style="2" customWidth="1"/>
    <col min="7" max="7" width="20.6640625" style="37" customWidth="1"/>
    <col min="8" max="10" width="20.6640625" style="2" customWidth="1"/>
    <col min="11" max="11" width="12.6640625" style="7" customWidth="1"/>
    <col min="12" max="12" width="14" style="7" customWidth="1"/>
    <col min="13" max="18" width="9.109375" style="7"/>
    <col min="19" max="16384" width="9.109375" style="6"/>
  </cols>
  <sheetData>
    <row r="1" spans="1:18" ht="16.5" customHeight="1" x14ac:dyDescent="0.35">
      <c r="A1" s="1"/>
      <c r="B1" s="1"/>
      <c r="C1" s="136"/>
      <c r="E1" s="3" t="s">
        <v>66</v>
      </c>
      <c r="F1" s="4"/>
      <c r="G1" s="132"/>
      <c r="H1" s="5"/>
    </row>
    <row r="2" spans="1:18" ht="13.5" customHeight="1" x14ac:dyDescent="0.35">
      <c r="A2" s="1"/>
      <c r="B2" s="1"/>
      <c r="C2" s="136"/>
      <c r="E2" s="248" t="s">
        <v>2</v>
      </c>
      <c r="F2" s="248"/>
      <c r="G2" s="248"/>
      <c r="H2" s="248"/>
      <c r="I2" s="248"/>
      <c r="J2" s="248"/>
    </row>
    <row r="3" spans="1:18" s="7" customFormat="1" ht="16.95" customHeight="1" x14ac:dyDescent="0.35">
      <c r="A3" s="49"/>
      <c r="B3" s="1"/>
      <c r="C3" s="136"/>
      <c r="D3" s="2"/>
      <c r="E3" s="50"/>
      <c r="F3" s="50"/>
      <c r="G3" s="133"/>
      <c r="H3" s="50"/>
      <c r="I3" s="50"/>
      <c r="J3" s="50"/>
    </row>
    <row r="4" spans="1:18" s="7" customFormat="1" ht="16.95" customHeight="1" x14ac:dyDescent="0.35">
      <c r="A4" s="249" t="s">
        <v>67</v>
      </c>
      <c r="B4" s="249"/>
      <c r="C4" s="249"/>
      <c r="D4" s="249"/>
      <c r="E4" s="249"/>
      <c r="F4" s="249"/>
      <c r="G4" s="249"/>
      <c r="H4" s="249"/>
      <c r="I4" s="249"/>
      <c r="J4" s="249"/>
      <c r="K4" s="103"/>
    </row>
    <row r="5" spans="1:18" s="7" customFormat="1" x14ac:dyDescent="0.35">
      <c r="A5" s="250" t="s">
        <v>148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18" s="7" customFormat="1" ht="13.2" customHeight="1" x14ac:dyDescent="0.35">
      <c r="A6" s="251" t="s">
        <v>5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8" s="7" customFormat="1" ht="20.399999999999999" customHeight="1" x14ac:dyDescent="0.35">
      <c r="A7" s="252" t="s">
        <v>143</v>
      </c>
      <c r="B7" s="252"/>
      <c r="C7" s="252"/>
      <c r="D7" s="252"/>
      <c r="E7" s="252"/>
      <c r="F7" s="252"/>
      <c r="G7" s="252"/>
      <c r="H7" s="252"/>
      <c r="I7" s="252"/>
      <c r="J7" s="252"/>
    </row>
    <row r="8" spans="1:18" s="7" customFormat="1" ht="19.5" customHeight="1" x14ac:dyDescent="0.35">
      <c r="A8" s="9"/>
      <c r="B8" s="10"/>
      <c r="C8" s="137"/>
      <c r="D8" s="10"/>
      <c r="E8" s="10"/>
      <c r="F8" s="10"/>
      <c r="G8" s="37"/>
      <c r="H8" s="2"/>
      <c r="I8" s="11"/>
      <c r="J8" s="2" t="s">
        <v>73</v>
      </c>
    </row>
    <row r="9" spans="1:18" s="7" customFormat="1" ht="30" customHeight="1" x14ac:dyDescent="0.35">
      <c r="A9" s="238" t="s">
        <v>6</v>
      </c>
      <c r="B9" s="238" t="s">
        <v>7</v>
      </c>
      <c r="C9" s="240" t="s">
        <v>144</v>
      </c>
      <c r="D9" s="241"/>
      <c r="E9" s="241"/>
      <c r="F9" s="242"/>
      <c r="G9" s="239" t="s">
        <v>72</v>
      </c>
      <c r="H9" s="239"/>
      <c r="I9" s="239"/>
      <c r="J9" s="239"/>
    </row>
    <row r="10" spans="1:18" s="7" customFormat="1" ht="36" customHeight="1" x14ac:dyDescent="0.35">
      <c r="A10" s="238"/>
      <c r="B10" s="238"/>
      <c r="C10" s="138" t="s">
        <v>69</v>
      </c>
      <c r="D10" s="51" t="s">
        <v>0</v>
      </c>
      <c r="E10" s="51" t="s">
        <v>70</v>
      </c>
      <c r="F10" s="52" t="s">
        <v>71</v>
      </c>
      <c r="G10" s="138" t="s">
        <v>69</v>
      </c>
      <c r="H10" s="51" t="s">
        <v>0</v>
      </c>
      <c r="I10" s="58" t="s">
        <v>70</v>
      </c>
      <c r="J10" s="57" t="s">
        <v>71</v>
      </c>
    </row>
    <row r="11" spans="1:18" s="109" customFormat="1" ht="13.8" x14ac:dyDescent="0.3">
      <c r="A11" s="106" t="s">
        <v>14</v>
      </c>
      <c r="B11" s="106" t="s">
        <v>15</v>
      </c>
      <c r="C11" s="130">
        <v>3</v>
      </c>
      <c r="D11" s="106">
        <v>4</v>
      </c>
      <c r="E11" s="106">
        <v>5</v>
      </c>
      <c r="F11" s="107">
        <v>6</v>
      </c>
      <c r="G11" s="134">
        <v>7</v>
      </c>
      <c r="H11" s="108">
        <v>8</v>
      </c>
      <c r="I11" s="108">
        <v>9</v>
      </c>
      <c r="J11" s="108">
        <v>10</v>
      </c>
    </row>
    <row r="12" spans="1:18" s="7" customFormat="1" ht="18.75" customHeight="1" x14ac:dyDescent="0.35">
      <c r="A12" s="243" t="s">
        <v>26</v>
      </c>
      <c r="B12" s="244"/>
      <c r="C12" s="244"/>
      <c r="D12" s="244"/>
      <c r="E12" s="244"/>
      <c r="F12" s="244"/>
      <c r="G12" s="244"/>
      <c r="H12" s="244"/>
      <c r="I12" s="244"/>
      <c r="J12" s="245"/>
    </row>
    <row r="13" spans="1:18" s="7" customFormat="1" ht="33.75" customHeight="1" x14ac:dyDescent="0.35">
      <c r="A13" s="65" t="s">
        <v>27</v>
      </c>
      <c r="B13" s="73" t="s">
        <v>24</v>
      </c>
      <c r="C13" s="86">
        <f>C14+C15</f>
        <v>34341435.329999998</v>
      </c>
      <c r="D13" s="86">
        <f>D14+D15</f>
        <v>24852527.850000001</v>
      </c>
      <c r="E13" s="86">
        <f>D13-C13</f>
        <v>-9488907.4799999967</v>
      </c>
      <c r="F13" s="77">
        <f>(D13/C13)*100</f>
        <v>72.36892579236293</v>
      </c>
      <c r="G13" s="86">
        <f>G14+G15</f>
        <v>65956698.829999998</v>
      </c>
      <c r="H13" s="86">
        <f>H14+H15</f>
        <v>48289275.859999999</v>
      </c>
      <c r="I13" s="86">
        <f>H13-G13</f>
        <v>-17667422.969999999</v>
      </c>
      <c r="J13" s="86">
        <f t="shared" ref="J13:J24" si="0">(H13/G13)*100</f>
        <v>73.213603343707561</v>
      </c>
    </row>
    <row r="14" spans="1:18" s="2" customFormat="1" x14ac:dyDescent="0.35">
      <c r="A14" s="14" t="s">
        <v>28</v>
      </c>
      <c r="B14" s="12" t="s">
        <v>29</v>
      </c>
      <c r="C14" s="55">
        <v>34341435.329999998</v>
      </c>
      <c r="D14" s="87">
        <f>'Додаток 1 Фін.план'!G25</f>
        <v>24852527.850000001</v>
      </c>
      <c r="E14" s="91">
        <f t="shared" ref="E14:E66" si="1">D14-C14</f>
        <v>-9488907.4799999967</v>
      </c>
      <c r="F14" s="94">
        <f t="shared" ref="F14:F41" si="2">(D14/C14)*100</f>
        <v>72.36892579236293</v>
      </c>
      <c r="G14" s="55">
        <f>31615263.5+C14</f>
        <v>65956698.829999998</v>
      </c>
      <c r="H14" s="55">
        <f>'Додаток 1 Фін.план'!F25+'Додаток 1 Фін.план'!G25</f>
        <v>48289275.859999999</v>
      </c>
      <c r="I14" s="91">
        <f t="shared" ref="I14:I24" si="3">H14-G14</f>
        <v>-17667422.969999999</v>
      </c>
      <c r="J14" s="91">
        <f t="shared" si="0"/>
        <v>73.213603343707561</v>
      </c>
      <c r="K14" s="7"/>
      <c r="L14" s="7"/>
      <c r="M14" s="7"/>
      <c r="N14" s="7"/>
      <c r="O14" s="7"/>
      <c r="P14" s="7"/>
      <c r="Q14" s="7"/>
      <c r="R14" s="7"/>
    </row>
    <row r="15" spans="1:18" s="2" customFormat="1" x14ac:dyDescent="0.35">
      <c r="A15" s="64" t="s">
        <v>118</v>
      </c>
      <c r="B15" s="63" t="s">
        <v>30</v>
      </c>
      <c r="C15" s="55">
        <v>0</v>
      </c>
      <c r="D15" s="87">
        <f>'Додаток 1 Фін.план'!G26</f>
        <v>0</v>
      </c>
      <c r="E15" s="91">
        <f t="shared" si="1"/>
        <v>0</v>
      </c>
      <c r="F15" s="94">
        <v>0</v>
      </c>
      <c r="G15" s="55">
        <f>C15</f>
        <v>0</v>
      </c>
      <c r="H15" s="55">
        <f>'Додаток 1 Фін.план'!F26+'Додаток 1 Фін.план'!G26</f>
        <v>0</v>
      </c>
      <c r="I15" s="91">
        <f t="shared" si="3"/>
        <v>0</v>
      </c>
      <c r="J15" s="91">
        <v>0</v>
      </c>
      <c r="K15" s="7"/>
      <c r="L15" s="7"/>
      <c r="M15" s="7"/>
      <c r="N15" s="7"/>
      <c r="O15" s="7"/>
      <c r="P15" s="7"/>
      <c r="Q15" s="7"/>
      <c r="R15" s="7"/>
    </row>
    <row r="16" spans="1:18" s="2" customFormat="1" x14ac:dyDescent="0.35">
      <c r="A16" s="66" t="s">
        <v>93</v>
      </c>
      <c r="B16" s="82" t="s">
        <v>25</v>
      </c>
      <c r="C16" s="131">
        <f>C17</f>
        <v>8830587.3300000001</v>
      </c>
      <c r="D16" s="89">
        <f>D17</f>
        <v>1953955.83</v>
      </c>
      <c r="E16" s="121">
        <f t="shared" si="1"/>
        <v>-6876631.5</v>
      </c>
      <c r="F16" s="90">
        <f t="shared" si="2"/>
        <v>22.127133303600996</v>
      </c>
      <c r="G16" s="131">
        <f>G17</f>
        <v>25982003.329999998</v>
      </c>
      <c r="H16" s="89">
        <f>H17</f>
        <v>5856461.8300000001</v>
      </c>
      <c r="I16" s="121">
        <f t="shared" si="3"/>
        <v>-20125541.5</v>
      </c>
      <c r="J16" s="121">
        <f t="shared" si="0"/>
        <v>22.540455235943504</v>
      </c>
      <c r="K16" s="7"/>
      <c r="L16" s="7"/>
      <c r="M16" s="7"/>
      <c r="N16" s="7"/>
      <c r="O16" s="7"/>
      <c r="P16" s="7"/>
      <c r="Q16" s="7"/>
      <c r="R16" s="7"/>
    </row>
    <row r="17" spans="1:18" s="2" customFormat="1" ht="44.25" customHeight="1" x14ac:dyDescent="0.35">
      <c r="A17" s="17" t="s">
        <v>119</v>
      </c>
      <c r="B17" s="83" t="s">
        <v>114</v>
      </c>
      <c r="C17" s="91">
        <v>8830587.3300000001</v>
      </c>
      <c r="D17" s="120">
        <f>'Додаток 1 Фін.план'!G28</f>
        <v>1953955.83</v>
      </c>
      <c r="E17" s="99">
        <f>D17-C17</f>
        <v>-6876631.5</v>
      </c>
      <c r="F17" s="88">
        <f>(D17/C17)*100</f>
        <v>22.127133303600996</v>
      </c>
      <c r="G17" s="91">
        <f>17151416+C17</f>
        <v>25982003.329999998</v>
      </c>
      <c r="H17" s="120">
        <f>'Додаток 1 Фін.план'!F28+'Додаток 1 Фін.план'!G28</f>
        <v>5856461.8300000001</v>
      </c>
      <c r="I17" s="91">
        <f>H17-G17</f>
        <v>-20125541.5</v>
      </c>
      <c r="J17" s="91">
        <f>(H17/G17)*100</f>
        <v>22.540455235943504</v>
      </c>
      <c r="K17" s="7"/>
      <c r="L17" s="7"/>
      <c r="M17" s="7"/>
      <c r="N17" s="7"/>
      <c r="O17" s="7"/>
      <c r="P17" s="7"/>
      <c r="Q17" s="7"/>
      <c r="R17" s="7"/>
    </row>
    <row r="18" spans="1:18" s="2" customFormat="1" x14ac:dyDescent="0.35">
      <c r="A18" s="84" t="s">
        <v>31</v>
      </c>
      <c r="B18" s="85">
        <v>1030</v>
      </c>
      <c r="C18" s="122">
        <f>C19+C20+C21+C22+C23+C24+C25+C26+C27</f>
        <v>3303658.1399999997</v>
      </c>
      <c r="D18" s="122">
        <f>D19+D20+D21+D22+D23+D24+D25+D26+D27</f>
        <v>17906067.760000002</v>
      </c>
      <c r="E18" s="86">
        <f t="shared" si="1"/>
        <v>14602409.620000001</v>
      </c>
      <c r="F18" s="86">
        <f t="shared" si="2"/>
        <v>542.0072840829713</v>
      </c>
      <c r="G18" s="122">
        <f>G19+G20+G21+G22+G23+G24+G25+G26+G27</f>
        <v>4062805.65</v>
      </c>
      <c r="H18" s="122">
        <f>H19+H20+H21+H22+H23+H24+H25+H26+H27</f>
        <v>18612836.27</v>
      </c>
      <c r="I18" s="86">
        <f t="shared" si="3"/>
        <v>14550030.619999999</v>
      </c>
      <c r="J18" s="86">
        <f t="shared" si="0"/>
        <v>458.12765545405796</v>
      </c>
      <c r="K18" s="7"/>
      <c r="L18" s="7"/>
      <c r="M18" s="7"/>
      <c r="N18" s="7"/>
      <c r="O18" s="7"/>
      <c r="P18" s="7"/>
      <c r="Q18" s="7"/>
      <c r="R18" s="7"/>
    </row>
    <row r="19" spans="1:18" s="2" customFormat="1" ht="31.8" x14ac:dyDescent="0.35">
      <c r="A19" s="61" t="s">
        <v>86</v>
      </c>
      <c r="B19" s="18">
        <v>1031</v>
      </c>
      <c r="C19" s="91">
        <v>0</v>
      </c>
      <c r="D19" s="87">
        <f>'Додаток 1 Фін.план'!G30</f>
        <v>0</v>
      </c>
      <c r="E19" s="91">
        <f t="shared" si="1"/>
        <v>0</v>
      </c>
      <c r="F19" s="76">
        <v>0</v>
      </c>
      <c r="G19" s="91">
        <f>C19</f>
        <v>0</v>
      </c>
      <c r="H19" s="120">
        <f>'Додаток 1 Фін.план'!F30+'Додаток 1 Фін.план'!G30</f>
        <v>0</v>
      </c>
      <c r="I19" s="91">
        <f t="shared" si="3"/>
        <v>0</v>
      </c>
      <c r="J19" s="91">
        <v>0</v>
      </c>
      <c r="K19" s="7"/>
      <c r="L19" s="7"/>
      <c r="M19" s="7"/>
      <c r="N19" s="7"/>
      <c r="O19" s="7"/>
      <c r="P19" s="7"/>
      <c r="Q19" s="7"/>
      <c r="R19" s="7"/>
    </row>
    <row r="20" spans="1:18" x14ac:dyDescent="0.35">
      <c r="A20" s="61" t="s">
        <v>102</v>
      </c>
      <c r="B20" s="18">
        <v>1032</v>
      </c>
      <c r="C20" s="91">
        <v>137459.67000000001</v>
      </c>
      <c r="D20" s="87">
        <f>'Додаток 1 Фін.план'!G31</f>
        <v>122442.60999999999</v>
      </c>
      <c r="E20" s="91">
        <f t="shared" si="1"/>
        <v>-15017.060000000027</v>
      </c>
      <c r="F20" s="94">
        <f t="shared" si="2"/>
        <v>89.075297503624142</v>
      </c>
      <c r="G20" s="91">
        <f>120000+C20</f>
        <v>257459.67</v>
      </c>
      <c r="H20" s="120">
        <f>'Додаток 1 Фін.план'!F31+'Додаток 1 Фін.план'!G31</f>
        <v>190063.61</v>
      </c>
      <c r="I20" s="91">
        <f t="shared" si="3"/>
        <v>-67396.060000000027</v>
      </c>
      <c r="J20" s="91">
        <f t="shared" si="0"/>
        <v>73.822672886980698</v>
      </c>
    </row>
    <row r="21" spans="1:18" x14ac:dyDescent="0.35">
      <c r="A21" s="19" t="s">
        <v>16</v>
      </c>
      <c r="B21" s="18">
        <v>1033</v>
      </c>
      <c r="C21" s="91">
        <v>3150545.8</v>
      </c>
      <c r="D21" s="87">
        <f>'Додаток 1 Фін.план'!G32</f>
        <v>2905647</v>
      </c>
      <c r="E21" s="91">
        <f t="shared" si="1"/>
        <v>-244898.79999999981</v>
      </c>
      <c r="F21" s="94">
        <f t="shared" si="2"/>
        <v>92.226781784921201</v>
      </c>
      <c r="G21" s="91">
        <f>588762.59+C21</f>
        <v>3739308.3899999997</v>
      </c>
      <c r="H21" s="120">
        <f>'Додаток 1 Фін.план'!F32+'Додаток 1 Фін.план'!G32</f>
        <v>3494409.59</v>
      </c>
      <c r="I21" s="91">
        <f t="shared" si="3"/>
        <v>-244898.79999999981</v>
      </c>
      <c r="J21" s="91">
        <f t="shared" si="0"/>
        <v>93.450692629285925</v>
      </c>
    </row>
    <row r="22" spans="1:18" x14ac:dyDescent="0.35">
      <c r="A22" s="61" t="s">
        <v>106</v>
      </c>
      <c r="B22" s="18">
        <v>1034</v>
      </c>
      <c r="C22" s="91">
        <v>0</v>
      </c>
      <c r="D22" s="87">
        <f>'Додаток 1 Фін.план'!G33</f>
        <v>0</v>
      </c>
      <c r="E22" s="91">
        <f t="shared" si="1"/>
        <v>0</v>
      </c>
      <c r="F22" s="94">
        <v>0</v>
      </c>
      <c r="G22" s="91">
        <f t="shared" ref="G22:G27" si="4">C22</f>
        <v>0</v>
      </c>
      <c r="H22" s="120">
        <v>0</v>
      </c>
      <c r="I22" s="91">
        <f t="shared" si="3"/>
        <v>0</v>
      </c>
      <c r="J22" s="91">
        <v>0</v>
      </c>
    </row>
    <row r="23" spans="1:18" x14ac:dyDescent="0.35">
      <c r="A23" s="19" t="s">
        <v>117</v>
      </c>
      <c r="B23" s="18">
        <v>1035</v>
      </c>
      <c r="C23" s="91">
        <v>4416.71</v>
      </c>
      <c r="D23" s="87">
        <f>'Додаток 1 Фін.план'!G34</f>
        <v>7087.9399999999987</v>
      </c>
      <c r="E23" s="91">
        <f t="shared" si="1"/>
        <v>2671.2299999999987</v>
      </c>
      <c r="F23" s="94">
        <f t="shared" si="2"/>
        <v>160.48008585576139</v>
      </c>
      <c r="G23" s="91">
        <f>15149.27+C23</f>
        <v>19565.98</v>
      </c>
      <c r="H23" s="120">
        <f>'Додаток 1 Фін.план'!F34+'Додаток 1 Фін.план'!G34</f>
        <v>22237.21</v>
      </c>
      <c r="I23" s="91">
        <f t="shared" si="3"/>
        <v>2671.2299999999996</v>
      </c>
      <c r="J23" s="91">
        <f t="shared" si="0"/>
        <v>113.65242119229397</v>
      </c>
    </row>
    <row r="24" spans="1:18" x14ac:dyDescent="0.35">
      <c r="A24" s="17" t="s">
        <v>85</v>
      </c>
      <c r="B24" s="18">
        <v>1036</v>
      </c>
      <c r="C24" s="91">
        <v>1365.88</v>
      </c>
      <c r="D24" s="87">
        <f>'Додаток 1 Фін.план'!G35</f>
        <v>4970.8899999999994</v>
      </c>
      <c r="E24" s="99">
        <f t="shared" si="1"/>
        <v>3605.0099999999993</v>
      </c>
      <c r="F24" s="88">
        <f t="shared" si="2"/>
        <v>363.93314200368985</v>
      </c>
      <c r="G24" s="91">
        <f>8824.36+C24</f>
        <v>10190.240000000002</v>
      </c>
      <c r="H24" s="120">
        <f>'Додаток 1 Фін.план'!F35+'Додаток 1 Фін.план'!G35</f>
        <v>13795.25</v>
      </c>
      <c r="I24" s="99">
        <f t="shared" si="3"/>
        <v>3605.0099999999984</v>
      </c>
      <c r="J24" s="99">
        <f t="shared" si="0"/>
        <v>135.37708631003781</v>
      </c>
    </row>
    <row r="25" spans="1:18" x14ac:dyDescent="0.35">
      <c r="A25" s="80" t="s">
        <v>109</v>
      </c>
      <c r="B25" s="81">
        <v>1037</v>
      </c>
      <c r="C25" s="91">
        <v>0</v>
      </c>
      <c r="D25" s="87">
        <f>'Додаток 1 Фін.план'!G36</f>
        <v>10767860.940000001</v>
      </c>
      <c r="E25" s="99">
        <f>D25-C25</f>
        <v>10767860.940000001</v>
      </c>
      <c r="F25" s="88">
        <v>0</v>
      </c>
      <c r="G25" s="91">
        <f>26411.29+C25</f>
        <v>26411.29</v>
      </c>
      <c r="H25" s="120">
        <f>'Додаток 1 Фін.план'!F36+'Додаток 1 Фін.план'!G36</f>
        <v>10794272.23</v>
      </c>
      <c r="I25" s="99">
        <f>H25-G25</f>
        <v>10767860.940000001</v>
      </c>
      <c r="J25" s="99">
        <f>(H25/G25)*100</f>
        <v>40869.916728792879</v>
      </c>
    </row>
    <row r="26" spans="1:18" x14ac:dyDescent="0.35">
      <c r="A26" s="61" t="s">
        <v>112</v>
      </c>
      <c r="B26" s="18">
        <v>1038</v>
      </c>
      <c r="C26" s="91">
        <v>9870.08</v>
      </c>
      <c r="D26" s="87">
        <f>'Додаток 1 Фін.план'!G37</f>
        <v>9766.4500000000007</v>
      </c>
      <c r="E26" s="99">
        <f>D26-C26</f>
        <v>-103.6299999999992</v>
      </c>
      <c r="F26" s="88">
        <f>(D26/C26)*100</f>
        <v>98.950059168720017</v>
      </c>
      <c r="G26" s="91">
        <f t="shared" si="4"/>
        <v>9870.08</v>
      </c>
      <c r="H26" s="120">
        <f>'Додаток 1 Фін.план'!F37+'Додаток 1 Фін.план'!G37</f>
        <v>9766.4500000000007</v>
      </c>
      <c r="I26" s="99">
        <f>H26-G26</f>
        <v>-103.6299999999992</v>
      </c>
      <c r="J26" s="99">
        <f>(H26/G26)*100</f>
        <v>98.950059168720017</v>
      </c>
    </row>
    <row r="27" spans="1:18" s="102" customFormat="1" x14ac:dyDescent="0.35">
      <c r="A27" s="61" t="s">
        <v>116</v>
      </c>
      <c r="B27" s="101">
        <v>1039</v>
      </c>
      <c r="C27" s="91">
        <v>0</v>
      </c>
      <c r="D27" s="87">
        <f>'Додаток 1 Фін.план'!G38</f>
        <v>4088291.93</v>
      </c>
      <c r="E27" s="99">
        <f>D27-C27</f>
        <v>4088291.93</v>
      </c>
      <c r="F27" s="88">
        <v>0</v>
      </c>
      <c r="G27" s="91">
        <f t="shared" si="4"/>
        <v>0</v>
      </c>
      <c r="H27" s="120">
        <f>'Додаток 1 Фін.план'!F38+'Додаток 1 Фін.план'!G38</f>
        <v>4088291.93</v>
      </c>
      <c r="I27" s="99">
        <f>H27-G27</f>
        <v>4088291.93</v>
      </c>
      <c r="J27" s="99">
        <v>0</v>
      </c>
    </row>
    <row r="28" spans="1:18" x14ac:dyDescent="0.35">
      <c r="A28" s="246" t="s">
        <v>87</v>
      </c>
      <c r="B28" s="246"/>
      <c r="C28" s="246"/>
      <c r="D28" s="246"/>
      <c r="E28" s="246"/>
      <c r="F28" s="246"/>
      <c r="G28" s="246"/>
      <c r="H28" s="246"/>
      <c r="I28" s="246"/>
      <c r="J28" s="246"/>
    </row>
    <row r="29" spans="1:18" x14ac:dyDescent="0.35">
      <c r="A29" s="30" t="s">
        <v>32</v>
      </c>
      <c r="B29" s="21">
        <v>1040</v>
      </c>
      <c r="C29" s="53">
        <v>19097602.649999999</v>
      </c>
      <c r="D29" s="87">
        <f>'Додаток 1 Фін.план'!G40</f>
        <v>12989676.789999999</v>
      </c>
      <c r="E29" s="97">
        <f t="shared" si="1"/>
        <v>-6107925.8599999994</v>
      </c>
      <c r="F29" s="76">
        <f t="shared" si="2"/>
        <v>68.017316246759378</v>
      </c>
      <c r="G29" s="76">
        <f>12848606.95+C29</f>
        <v>31946209.599999998</v>
      </c>
      <c r="H29" s="120">
        <f>'Додаток 1 Фін.план'!F40+'Додаток 1 Фін.план'!G40</f>
        <v>25838283.739999998</v>
      </c>
      <c r="I29" s="97">
        <f t="shared" ref="I29:I41" si="5">H29-G29</f>
        <v>-6107925.8599999994</v>
      </c>
      <c r="J29" s="97">
        <f t="shared" ref="J29:J41" si="6">(H29/G29)*100</f>
        <v>80.880592920169164</v>
      </c>
    </row>
    <row r="30" spans="1:18" x14ac:dyDescent="0.35">
      <c r="A30" s="20" t="s">
        <v>33</v>
      </c>
      <c r="B30" s="23">
        <v>1050</v>
      </c>
      <c r="C30" s="53">
        <v>4208145.4000000004</v>
      </c>
      <c r="D30" s="87">
        <f>'Додаток 1 Фін.план'!G41</f>
        <v>2940175.6690000002</v>
      </c>
      <c r="E30" s="91">
        <f t="shared" si="1"/>
        <v>-1267969.7310000001</v>
      </c>
      <c r="F30" s="94">
        <f t="shared" si="2"/>
        <v>69.86868060690108</v>
      </c>
      <c r="G30" s="76">
        <f>2806674.79+C30</f>
        <v>7014820.1900000004</v>
      </c>
      <c r="H30" s="120">
        <f>'Додаток 1 Фін.план'!F41+'Додаток 1 Фін.план'!G41</f>
        <v>5746850.46</v>
      </c>
      <c r="I30" s="91">
        <f t="shared" si="5"/>
        <v>-1267969.7300000004</v>
      </c>
      <c r="J30" s="91">
        <f t="shared" si="6"/>
        <v>81.924415798888774</v>
      </c>
    </row>
    <row r="31" spans="1:18" x14ac:dyDescent="0.35">
      <c r="A31" s="20" t="s">
        <v>34</v>
      </c>
      <c r="B31" s="23">
        <v>1060</v>
      </c>
      <c r="C31" s="53">
        <v>125536.35</v>
      </c>
      <c r="D31" s="87">
        <f>'Додаток 1 Фін.план'!G42</f>
        <v>446284.68</v>
      </c>
      <c r="E31" s="91">
        <f t="shared" si="1"/>
        <v>320748.32999999996</v>
      </c>
      <c r="F31" s="94">
        <f t="shared" si="2"/>
        <v>355.50235449732287</v>
      </c>
      <c r="G31" s="76">
        <f>98390.95+C31</f>
        <v>223927.3</v>
      </c>
      <c r="H31" s="120">
        <f>'Додаток 1 Фін.план'!F42+'Додаток 1 Фін.план'!G42</f>
        <v>544675.63</v>
      </c>
      <c r="I31" s="91">
        <f t="shared" si="5"/>
        <v>320748.33</v>
      </c>
      <c r="J31" s="91">
        <f t="shared" si="6"/>
        <v>243.23770705938935</v>
      </c>
    </row>
    <row r="32" spans="1:18" x14ac:dyDescent="0.35">
      <c r="A32" s="20" t="s">
        <v>35</v>
      </c>
      <c r="B32" s="23">
        <v>1070</v>
      </c>
      <c r="C32" s="53">
        <v>8762048.3000000007</v>
      </c>
      <c r="D32" s="87">
        <f>'Додаток 1 Фін.план'!G43</f>
        <v>15901832.209999999</v>
      </c>
      <c r="E32" s="91">
        <f t="shared" si="1"/>
        <v>7139783.9099999983</v>
      </c>
      <c r="F32" s="94">
        <f t="shared" si="2"/>
        <v>181.48532929223865</v>
      </c>
      <c r="G32" s="76">
        <f>3982455.67+C32</f>
        <v>12744503.970000001</v>
      </c>
      <c r="H32" s="120">
        <f>'Додаток 1 Фін.план'!F43+'Додаток 1 Фін.план'!G43</f>
        <v>19884287.879999999</v>
      </c>
      <c r="I32" s="91">
        <f t="shared" si="5"/>
        <v>7139783.9099999983</v>
      </c>
      <c r="J32" s="91">
        <f t="shared" si="6"/>
        <v>156.02245428152193</v>
      </c>
    </row>
    <row r="33" spans="1:23" x14ac:dyDescent="0.35">
      <c r="A33" s="20" t="s">
        <v>36</v>
      </c>
      <c r="B33" s="23">
        <v>1080</v>
      </c>
      <c r="C33" s="53">
        <v>154227.29999999999</v>
      </c>
      <c r="D33" s="87">
        <f>'Додаток 1 Фін.план'!G44</f>
        <v>205402.05000000002</v>
      </c>
      <c r="E33" s="91">
        <f t="shared" si="1"/>
        <v>51174.750000000029</v>
      </c>
      <c r="F33" s="94">
        <f t="shared" si="2"/>
        <v>133.1813822844594</v>
      </c>
      <c r="G33" s="76">
        <f>104170.09+C33</f>
        <v>258397.38999999998</v>
      </c>
      <c r="H33" s="120">
        <f>'Додаток 1 Фін.план'!F44+'Додаток 1 Фін.план'!G44</f>
        <v>309572.14</v>
      </c>
      <c r="I33" s="91">
        <f t="shared" si="5"/>
        <v>51174.750000000029</v>
      </c>
      <c r="J33" s="91">
        <f t="shared" si="6"/>
        <v>119.80466985366998</v>
      </c>
    </row>
    <row r="34" spans="1:23" x14ac:dyDescent="0.35">
      <c r="A34" s="20" t="s">
        <v>37</v>
      </c>
      <c r="B34" s="23">
        <v>1090</v>
      </c>
      <c r="C34" s="53">
        <v>1699516.834</v>
      </c>
      <c r="D34" s="87">
        <f>'Додаток 1 Фін.план'!G45</f>
        <v>805752.05</v>
      </c>
      <c r="E34" s="91">
        <f t="shared" si="1"/>
        <v>-893764.78399999999</v>
      </c>
      <c r="F34" s="94">
        <f t="shared" si="2"/>
        <v>47.410654244805208</v>
      </c>
      <c r="G34" s="76">
        <f>903449.5+C34</f>
        <v>2602966.3339999998</v>
      </c>
      <c r="H34" s="120">
        <f>'Додаток 1 Фін.план'!F45+'Додаток 1 Фін.план'!G45</f>
        <v>1709201.55</v>
      </c>
      <c r="I34" s="91">
        <f t="shared" si="5"/>
        <v>-893764.78399999975</v>
      </c>
      <c r="J34" s="91">
        <f t="shared" si="6"/>
        <v>65.663605697637124</v>
      </c>
    </row>
    <row r="35" spans="1:23" x14ac:dyDescent="0.35">
      <c r="A35" s="20" t="s">
        <v>38</v>
      </c>
      <c r="B35" s="23">
        <v>1100</v>
      </c>
      <c r="C35" s="53">
        <v>0</v>
      </c>
      <c r="D35" s="87">
        <f>'Додаток 1 Фін.план'!G46</f>
        <v>0</v>
      </c>
      <c r="E35" s="91">
        <f t="shared" si="1"/>
        <v>0</v>
      </c>
      <c r="F35" s="94">
        <v>0</v>
      </c>
      <c r="G35" s="76">
        <f t="shared" ref="G35" si="7">C35</f>
        <v>0</v>
      </c>
      <c r="H35" s="120">
        <f>'Додаток 1 Фін.план'!F46+'Додаток 1 Фін.план'!G46</f>
        <v>0</v>
      </c>
      <c r="I35" s="91">
        <f t="shared" si="5"/>
        <v>0</v>
      </c>
      <c r="J35" s="91">
        <v>0</v>
      </c>
    </row>
    <row r="36" spans="1:23" x14ac:dyDescent="0.35">
      <c r="A36" s="20" t="s">
        <v>74</v>
      </c>
      <c r="B36" s="23">
        <v>1110</v>
      </c>
      <c r="C36" s="53">
        <v>3290452.21</v>
      </c>
      <c r="D36" s="87">
        <f>'Додаток 1 Фін.план'!G47</f>
        <v>4332542.1099999994</v>
      </c>
      <c r="E36" s="91">
        <f t="shared" si="1"/>
        <v>1042089.8999999994</v>
      </c>
      <c r="F36" s="94">
        <f t="shared" si="2"/>
        <v>131.67011199351225</v>
      </c>
      <c r="G36" s="76">
        <f>8824.36+C36</f>
        <v>3299276.57</v>
      </c>
      <c r="H36" s="120">
        <f>'Додаток 1 Фін.план'!F47+'Додаток 1 Фін.план'!G47</f>
        <v>4341366.47</v>
      </c>
      <c r="I36" s="91">
        <f t="shared" si="5"/>
        <v>1042089.8999999999</v>
      </c>
      <c r="J36" s="91">
        <f t="shared" si="6"/>
        <v>131.58540600917249</v>
      </c>
    </row>
    <row r="37" spans="1:23" ht="31.2" x14ac:dyDescent="0.35">
      <c r="A37" s="24" t="s">
        <v>39</v>
      </c>
      <c r="B37" s="23">
        <v>1120</v>
      </c>
      <c r="C37" s="53">
        <v>0</v>
      </c>
      <c r="D37" s="87">
        <f>'Додаток 1 Фін.план'!G48</f>
        <v>14450</v>
      </c>
      <c r="E37" s="91">
        <f t="shared" si="1"/>
        <v>14450</v>
      </c>
      <c r="F37" s="94">
        <v>0</v>
      </c>
      <c r="G37" s="76">
        <f>7900+C37</f>
        <v>7900</v>
      </c>
      <c r="H37" s="120">
        <f>'Додаток 1 Фін.план'!F48+'Додаток 1 Фін.план'!G48</f>
        <v>22350</v>
      </c>
      <c r="I37" s="91">
        <f t="shared" si="5"/>
        <v>14450</v>
      </c>
      <c r="J37" s="91">
        <f t="shared" si="6"/>
        <v>282.91139240506328</v>
      </c>
    </row>
    <row r="38" spans="1:23" x14ac:dyDescent="0.35">
      <c r="A38" s="24" t="s">
        <v>40</v>
      </c>
      <c r="B38" s="23">
        <v>1130</v>
      </c>
      <c r="C38" s="53">
        <v>304833.33399999997</v>
      </c>
      <c r="D38" s="87">
        <f>'Додаток 1 Фін.план'!G49</f>
        <v>487180</v>
      </c>
      <c r="E38" s="91">
        <f t="shared" si="1"/>
        <v>182346.66600000003</v>
      </c>
      <c r="F38" s="94">
        <f t="shared" si="2"/>
        <v>159.81847969421875</v>
      </c>
      <c r="G38" s="76">
        <f>105100+C38</f>
        <v>409933.33399999997</v>
      </c>
      <c r="H38" s="120">
        <f>'Додаток 1 Фін.план'!F49+'Додаток 1 Фін.план'!G49</f>
        <v>592280</v>
      </c>
      <c r="I38" s="91">
        <f t="shared" si="5"/>
        <v>182346.66600000003</v>
      </c>
      <c r="J38" s="91">
        <f t="shared" si="6"/>
        <v>144.48202936334033</v>
      </c>
    </row>
    <row r="39" spans="1:23" x14ac:dyDescent="0.35">
      <c r="A39" s="20" t="s">
        <v>41</v>
      </c>
      <c r="B39" s="23">
        <v>1140</v>
      </c>
      <c r="C39" s="53">
        <v>46134.27</v>
      </c>
      <c r="D39" s="87">
        <f>'Додаток 1 Фін.план'!G50</f>
        <v>11710.319999999996</v>
      </c>
      <c r="E39" s="91">
        <f t="shared" si="1"/>
        <v>-34423.949999999997</v>
      </c>
      <c r="F39" s="94">
        <f t="shared" si="2"/>
        <v>25.383126253000203</v>
      </c>
      <c r="G39" s="76">
        <f>30797.2+C39</f>
        <v>76931.47</v>
      </c>
      <c r="H39" s="120">
        <f>'Додаток 1 Фін.план'!F50+'Додаток 1 Фін.план'!G50</f>
        <v>42507.519999999997</v>
      </c>
      <c r="I39" s="91">
        <f t="shared" si="5"/>
        <v>-34423.950000000004</v>
      </c>
      <c r="J39" s="91">
        <f t="shared" si="6"/>
        <v>55.253747263636058</v>
      </c>
    </row>
    <row r="40" spans="1:23" x14ac:dyDescent="0.35">
      <c r="A40" s="25" t="s">
        <v>42</v>
      </c>
      <c r="B40" s="26">
        <v>1170</v>
      </c>
      <c r="C40" s="54">
        <f>C13+C16+C18+C43+C54</f>
        <v>46475680.799999997</v>
      </c>
      <c r="D40" s="54">
        <f>D13+D16+D18+D43+D54</f>
        <v>44712551.439999998</v>
      </c>
      <c r="E40" s="86">
        <f t="shared" si="1"/>
        <v>-1763129.3599999994</v>
      </c>
      <c r="F40" s="77">
        <f t="shared" si="2"/>
        <v>96.206339897230734</v>
      </c>
      <c r="G40" s="54">
        <f>G13+G16+G18+G43+G54</f>
        <v>96001507.810000002</v>
      </c>
      <c r="H40" s="54">
        <f>H13+H16+H18+H43+H54</f>
        <v>72758573.959999993</v>
      </c>
      <c r="I40" s="86">
        <f t="shared" si="5"/>
        <v>-23242933.850000009</v>
      </c>
      <c r="J40" s="86">
        <f t="shared" si="6"/>
        <v>75.788990839601269</v>
      </c>
    </row>
    <row r="41" spans="1:23" x14ac:dyDescent="0.35">
      <c r="A41" s="25" t="s">
        <v>43</v>
      </c>
      <c r="B41" s="26">
        <v>1180</v>
      </c>
      <c r="C41" s="54">
        <f>C29+C30+C31+C32+C33+C34+C35+C36+C37+C38+C39+C46+C59</f>
        <v>37688496.648000002</v>
      </c>
      <c r="D41" s="54">
        <f>D29+D30+D31+D32+D33+D34+D35+D36+D37+D38+D39+D46+D59</f>
        <v>39554747.528999999</v>
      </c>
      <c r="E41" s="86">
        <f t="shared" si="1"/>
        <v>1866250.8809999973</v>
      </c>
      <c r="F41" s="77">
        <f t="shared" si="2"/>
        <v>104.95177851860279</v>
      </c>
      <c r="G41" s="54">
        <f>G29+G30+G31+G32+G33+G34+G35+G36+G37+G38+G39+G46+G59</f>
        <v>60779203.197999991</v>
      </c>
      <c r="H41" s="54">
        <f>H29+H30+H31+H32+H33+H34+H35+H36+H37+H38+H39+H46+H59</f>
        <v>62645454.079999991</v>
      </c>
      <c r="I41" s="86">
        <f t="shared" si="5"/>
        <v>1866250.8819999993</v>
      </c>
      <c r="J41" s="86">
        <f t="shared" si="6"/>
        <v>103.07054186926462</v>
      </c>
    </row>
    <row r="42" spans="1:23" x14ac:dyDescent="0.35">
      <c r="A42" s="223" t="s">
        <v>51</v>
      </c>
      <c r="B42" s="224"/>
      <c r="C42" s="224"/>
      <c r="D42" s="224"/>
      <c r="E42" s="224"/>
      <c r="F42" s="224"/>
      <c r="G42" s="224"/>
      <c r="H42" s="224"/>
      <c r="I42" s="224"/>
      <c r="J42" s="225"/>
    </row>
    <row r="43" spans="1:23" x14ac:dyDescent="0.35">
      <c r="A43" s="56" t="s">
        <v>91</v>
      </c>
      <c r="B43" s="60">
        <v>2010</v>
      </c>
      <c r="C43" s="86">
        <f>C44+C45</f>
        <v>0</v>
      </c>
      <c r="D43" s="86">
        <f>D44</f>
        <v>0</v>
      </c>
      <c r="E43" s="86">
        <f t="shared" si="1"/>
        <v>0</v>
      </c>
      <c r="F43" s="77">
        <v>0</v>
      </c>
      <c r="G43" s="86">
        <f>G44</f>
        <v>0</v>
      </c>
      <c r="H43" s="86">
        <f>H44</f>
        <v>0</v>
      </c>
      <c r="I43" s="86">
        <f t="shared" ref="I43:I52" si="8">H43-G43</f>
        <v>0</v>
      </c>
      <c r="J43" s="86">
        <v>0</v>
      </c>
    </row>
    <row r="44" spans="1:23" x14ac:dyDescent="0.35">
      <c r="A44" s="42" t="s">
        <v>92</v>
      </c>
      <c r="B44" s="18">
        <v>2011</v>
      </c>
      <c r="C44" s="91"/>
      <c r="D44" s="91">
        <f>'Додаток 1 Фін.план'!G55</f>
        <v>0</v>
      </c>
      <c r="E44" s="91">
        <f t="shared" si="1"/>
        <v>0</v>
      </c>
      <c r="F44" s="94">
        <v>0</v>
      </c>
      <c r="G44" s="91">
        <f>C44</f>
        <v>0</v>
      </c>
      <c r="H44" s="91">
        <f>D44</f>
        <v>0</v>
      </c>
      <c r="I44" s="91">
        <f t="shared" si="8"/>
        <v>0</v>
      </c>
      <c r="J44" s="91">
        <v>0</v>
      </c>
    </row>
    <row r="45" spans="1:23" x14ac:dyDescent="0.35">
      <c r="A45" s="42" t="s">
        <v>94</v>
      </c>
      <c r="B45" s="18">
        <v>2012</v>
      </c>
      <c r="C45" s="91"/>
      <c r="D45" s="91">
        <v>0</v>
      </c>
      <c r="E45" s="91">
        <f t="shared" si="1"/>
        <v>0</v>
      </c>
      <c r="F45" s="94">
        <v>0</v>
      </c>
      <c r="G45" s="91">
        <f>C45</f>
        <v>0</v>
      </c>
      <c r="H45" s="91">
        <f>D45</f>
        <v>0</v>
      </c>
      <c r="I45" s="91">
        <f t="shared" si="8"/>
        <v>0</v>
      </c>
      <c r="J45" s="91">
        <v>0</v>
      </c>
    </row>
    <row r="46" spans="1:23" x14ac:dyDescent="0.35">
      <c r="A46" s="56" t="s">
        <v>124</v>
      </c>
      <c r="B46" s="70">
        <v>3010</v>
      </c>
      <c r="C46" s="95">
        <f>C47+C48+C49+C50+C51+C52</f>
        <v>0</v>
      </c>
      <c r="D46" s="95">
        <f>D47+D48+D49+D50+D51+D52</f>
        <v>1419741.6500000001</v>
      </c>
      <c r="E46" s="86">
        <f t="shared" si="1"/>
        <v>1419741.6500000001</v>
      </c>
      <c r="F46" s="77">
        <v>0</v>
      </c>
      <c r="G46" s="95">
        <f>G47+G48+G49+G50+G51+G52</f>
        <v>2194337.04</v>
      </c>
      <c r="H46" s="95">
        <f>H47+H48+H49+H50+H51+H52</f>
        <v>3614078.69</v>
      </c>
      <c r="I46" s="86">
        <f t="shared" si="8"/>
        <v>1419741.65</v>
      </c>
      <c r="J46" s="86">
        <f t="shared" ref="J43:J52" si="9">(H46/G46)*100</f>
        <v>164.70025452425486</v>
      </c>
    </row>
    <row r="47" spans="1:23" x14ac:dyDescent="0.35">
      <c r="A47" s="104" t="s">
        <v>52</v>
      </c>
      <c r="B47" s="23">
        <v>3011</v>
      </c>
      <c r="C47" s="55"/>
      <c r="D47" s="55">
        <f>'Додаток 1 Фін.план'!F58</f>
        <v>0</v>
      </c>
      <c r="E47" s="91">
        <f t="shared" si="1"/>
        <v>0</v>
      </c>
      <c r="F47" s="94">
        <v>0</v>
      </c>
      <c r="G47" s="94">
        <f>C47</f>
        <v>0</v>
      </c>
      <c r="H47" s="92">
        <f>'Додаток 1 Фін.план'!F58</f>
        <v>0</v>
      </c>
      <c r="I47" s="91">
        <f t="shared" si="8"/>
        <v>0</v>
      </c>
      <c r="J47" s="91">
        <v>0</v>
      </c>
      <c r="K47" s="236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</row>
    <row r="48" spans="1:23" x14ac:dyDescent="0.35">
      <c r="A48" s="104" t="s">
        <v>128</v>
      </c>
      <c r="B48" s="23">
        <v>3012</v>
      </c>
      <c r="C48" s="55"/>
      <c r="D48" s="55">
        <f>'Додаток 1 Фін.план'!G59</f>
        <v>1308313.81</v>
      </c>
      <c r="E48" s="91">
        <f t="shared" si="1"/>
        <v>1308313.81</v>
      </c>
      <c r="F48" s="94">
        <v>0</v>
      </c>
      <c r="G48" s="94">
        <f>2194337.04+C48</f>
        <v>2194337.04</v>
      </c>
      <c r="H48" s="120">
        <f>'Додаток 1 Фін.план'!F59+'Додаток 1 Фін.план'!G59</f>
        <v>3502650.85</v>
      </c>
      <c r="I48" s="91">
        <f t="shared" si="8"/>
        <v>1308313.81</v>
      </c>
      <c r="J48" s="91">
        <f t="shared" si="9"/>
        <v>159.62228163454782</v>
      </c>
      <c r="K48" s="236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</row>
    <row r="49" spans="1:23" x14ac:dyDescent="0.35">
      <c r="A49" s="104" t="s">
        <v>129</v>
      </c>
      <c r="B49" s="23">
        <v>3013</v>
      </c>
      <c r="C49" s="55"/>
      <c r="D49" s="55">
        <f>'Додаток 1 Фін.план'!G60</f>
        <v>111315.28</v>
      </c>
      <c r="E49" s="91">
        <f t="shared" si="1"/>
        <v>111315.28</v>
      </c>
      <c r="F49" s="94">
        <v>0</v>
      </c>
      <c r="G49" s="94">
        <f>0+C49</f>
        <v>0</v>
      </c>
      <c r="H49" s="120">
        <f>'Додаток 1 Фін.план'!F60+'Додаток 1 Фін.план'!G60</f>
        <v>111315.28</v>
      </c>
      <c r="I49" s="91">
        <f t="shared" si="8"/>
        <v>111315.28</v>
      </c>
      <c r="J49" s="91">
        <v>0</v>
      </c>
      <c r="K49" s="236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</row>
    <row r="50" spans="1:23" x14ac:dyDescent="0.35">
      <c r="A50" s="104" t="s">
        <v>130</v>
      </c>
      <c r="B50" s="23">
        <v>3014</v>
      </c>
      <c r="C50" s="55"/>
      <c r="D50" s="55">
        <f>'Додаток 1 Фін.план'!G61</f>
        <v>112.56</v>
      </c>
      <c r="E50" s="91">
        <f t="shared" si="1"/>
        <v>112.56</v>
      </c>
      <c r="F50" s="94">
        <v>0</v>
      </c>
      <c r="G50" s="94">
        <f t="shared" ref="G50:G52" si="10">0+C50</f>
        <v>0</v>
      </c>
      <c r="H50" s="120">
        <f>'Додаток 1 Фін.план'!F61+'Додаток 1 Фін.план'!G61</f>
        <v>112.56</v>
      </c>
      <c r="I50" s="91">
        <f t="shared" si="8"/>
        <v>112.56</v>
      </c>
      <c r="J50" s="91">
        <v>0</v>
      </c>
      <c r="K50" s="236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</row>
    <row r="51" spans="1:23" ht="31.2" x14ac:dyDescent="0.35">
      <c r="A51" s="104" t="s">
        <v>53</v>
      </c>
      <c r="B51" s="23">
        <v>3015</v>
      </c>
      <c r="C51" s="55"/>
      <c r="D51" s="55">
        <f>'Додаток 1 Фін.план'!Y62</f>
        <v>0</v>
      </c>
      <c r="E51" s="91">
        <f t="shared" si="1"/>
        <v>0</v>
      </c>
      <c r="F51" s="94">
        <v>0</v>
      </c>
      <c r="G51" s="94">
        <f t="shared" si="10"/>
        <v>0</v>
      </c>
      <c r="H51" s="92">
        <f>'Додаток 1 Фін.план'!F62</f>
        <v>0</v>
      </c>
      <c r="I51" s="91">
        <f t="shared" si="8"/>
        <v>0</v>
      </c>
      <c r="J51" s="91">
        <v>0</v>
      </c>
      <c r="K51" s="236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</row>
    <row r="52" spans="1:23" x14ac:dyDescent="0.35">
      <c r="A52" s="104" t="s">
        <v>17</v>
      </c>
      <c r="B52" s="23">
        <v>3016</v>
      </c>
      <c r="C52" s="55"/>
      <c r="D52" s="55">
        <f>'Додаток 1 Фін.план'!Y63</f>
        <v>0</v>
      </c>
      <c r="E52" s="91">
        <f t="shared" si="1"/>
        <v>0</v>
      </c>
      <c r="F52" s="94">
        <v>0</v>
      </c>
      <c r="G52" s="94">
        <f t="shared" si="10"/>
        <v>0</v>
      </c>
      <c r="H52" s="92">
        <f>'Додаток 1 Фін.план'!F63</f>
        <v>0</v>
      </c>
      <c r="I52" s="91">
        <f t="shared" si="8"/>
        <v>0</v>
      </c>
      <c r="J52" s="91">
        <v>0</v>
      </c>
      <c r="K52" s="236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</row>
    <row r="53" spans="1:23" x14ac:dyDescent="0.35">
      <c r="A53" s="223" t="s">
        <v>55</v>
      </c>
      <c r="B53" s="224"/>
      <c r="C53" s="224"/>
      <c r="D53" s="224"/>
      <c r="E53" s="224"/>
      <c r="F53" s="224"/>
      <c r="G53" s="224"/>
      <c r="H53" s="224"/>
      <c r="I53" s="224"/>
      <c r="J53" s="226"/>
    </row>
    <row r="54" spans="1:23" x14ac:dyDescent="0.35">
      <c r="A54" s="28" t="s">
        <v>56</v>
      </c>
      <c r="B54" s="60">
        <v>4010</v>
      </c>
      <c r="C54" s="96">
        <f>C55+C56+C57+C58</f>
        <v>0</v>
      </c>
      <c r="D54" s="96">
        <f>D55+D56+D57+D58</f>
        <v>0</v>
      </c>
      <c r="E54" s="86">
        <f t="shared" si="1"/>
        <v>0</v>
      </c>
      <c r="F54" s="77">
        <v>0</v>
      </c>
      <c r="G54" s="96">
        <f>G55+G56+G57+G58</f>
        <v>0</v>
      </c>
      <c r="H54" s="96">
        <f>H55+H56+H57+H58</f>
        <v>0</v>
      </c>
      <c r="I54" s="86">
        <f t="shared" ref="I54:I63" si="11">H54-G54</f>
        <v>0</v>
      </c>
      <c r="J54" s="86">
        <v>0</v>
      </c>
    </row>
    <row r="55" spans="1:23" x14ac:dyDescent="0.35">
      <c r="A55" s="20" t="s">
        <v>57</v>
      </c>
      <c r="B55" s="21">
        <v>4011</v>
      </c>
      <c r="C55" s="55"/>
      <c r="D55" s="55"/>
      <c r="E55" s="91">
        <f t="shared" si="1"/>
        <v>0</v>
      </c>
      <c r="F55" s="94">
        <v>0</v>
      </c>
      <c r="G55" s="94"/>
      <c r="H55" s="92"/>
      <c r="I55" s="91">
        <f t="shared" si="11"/>
        <v>0</v>
      </c>
      <c r="J55" s="91">
        <v>0</v>
      </c>
    </row>
    <row r="56" spans="1:23" x14ac:dyDescent="0.35">
      <c r="A56" s="20" t="s">
        <v>58</v>
      </c>
      <c r="B56" s="23">
        <v>4012</v>
      </c>
      <c r="C56" s="55"/>
      <c r="D56" s="55"/>
      <c r="E56" s="91">
        <f t="shared" si="1"/>
        <v>0</v>
      </c>
      <c r="F56" s="94">
        <v>0</v>
      </c>
      <c r="G56" s="94"/>
      <c r="H56" s="92"/>
      <c r="I56" s="91">
        <f t="shared" si="11"/>
        <v>0</v>
      </c>
      <c r="J56" s="91">
        <v>0</v>
      </c>
    </row>
    <row r="57" spans="1:23" x14ac:dyDescent="0.35">
      <c r="A57" s="20" t="s">
        <v>59</v>
      </c>
      <c r="B57" s="23">
        <v>4013</v>
      </c>
      <c r="C57" s="55"/>
      <c r="D57" s="55"/>
      <c r="E57" s="91">
        <f t="shared" si="1"/>
        <v>0</v>
      </c>
      <c r="F57" s="94">
        <v>0</v>
      </c>
      <c r="G57" s="94"/>
      <c r="H57" s="92"/>
      <c r="I57" s="91">
        <f t="shared" si="11"/>
        <v>0</v>
      </c>
      <c r="J57" s="91">
        <v>0</v>
      </c>
    </row>
    <row r="58" spans="1:23" x14ac:dyDescent="0.35">
      <c r="A58" s="20" t="s">
        <v>60</v>
      </c>
      <c r="B58" s="23">
        <v>4020</v>
      </c>
      <c r="C58" s="55"/>
      <c r="D58" s="55"/>
      <c r="E58" s="91">
        <f t="shared" si="1"/>
        <v>0</v>
      </c>
      <c r="F58" s="94">
        <v>0</v>
      </c>
      <c r="G58" s="94"/>
      <c r="H58" s="92"/>
      <c r="I58" s="91">
        <f t="shared" si="11"/>
        <v>0</v>
      </c>
      <c r="J58" s="91">
        <v>0</v>
      </c>
    </row>
    <row r="59" spans="1:23" x14ac:dyDescent="0.35">
      <c r="A59" s="25" t="s">
        <v>61</v>
      </c>
      <c r="B59" s="26">
        <v>4030</v>
      </c>
      <c r="C59" s="54">
        <f>C60+C61+C62+C63</f>
        <v>0</v>
      </c>
      <c r="D59" s="54">
        <f>D60+D61+D62+D63</f>
        <v>0</v>
      </c>
      <c r="E59" s="86">
        <f t="shared" si="1"/>
        <v>0</v>
      </c>
      <c r="F59" s="77">
        <v>0</v>
      </c>
      <c r="G59" s="54">
        <f>G60+G61+G62+G63</f>
        <v>0</v>
      </c>
      <c r="H59" s="54">
        <f>H60+H61+H62+H63</f>
        <v>0</v>
      </c>
      <c r="I59" s="86">
        <f t="shared" si="11"/>
        <v>0</v>
      </c>
      <c r="J59" s="86">
        <v>0</v>
      </c>
    </row>
    <row r="60" spans="1:23" x14ac:dyDescent="0.35">
      <c r="A60" s="20" t="s">
        <v>57</v>
      </c>
      <c r="B60" s="23">
        <v>4031</v>
      </c>
      <c r="C60" s="55"/>
      <c r="D60" s="55"/>
      <c r="E60" s="91">
        <f t="shared" si="1"/>
        <v>0</v>
      </c>
      <c r="F60" s="94">
        <v>0</v>
      </c>
      <c r="G60" s="94"/>
      <c r="H60" s="92"/>
      <c r="I60" s="91">
        <f t="shared" si="11"/>
        <v>0</v>
      </c>
      <c r="J60" s="91">
        <v>0</v>
      </c>
    </row>
    <row r="61" spans="1:23" x14ac:dyDescent="0.35">
      <c r="A61" s="20" t="s">
        <v>58</v>
      </c>
      <c r="B61" s="23">
        <v>4032</v>
      </c>
      <c r="C61" s="55"/>
      <c r="D61" s="55"/>
      <c r="E61" s="91">
        <f t="shared" si="1"/>
        <v>0</v>
      </c>
      <c r="F61" s="94">
        <v>0</v>
      </c>
      <c r="G61" s="94"/>
      <c r="H61" s="92"/>
      <c r="I61" s="91">
        <f t="shared" si="11"/>
        <v>0</v>
      </c>
      <c r="J61" s="91">
        <v>0</v>
      </c>
    </row>
    <row r="62" spans="1:23" x14ac:dyDescent="0.35">
      <c r="A62" s="20" t="s">
        <v>59</v>
      </c>
      <c r="B62" s="23">
        <v>4033</v>
      </c>
      <c r="C62" s="55"/>
      <c r="D62" s="55"/>
      <c r="E62" s="91">
        <f t="shared" si="1"/>
        <v>0</v>
      </c>
      <c r="F62" s="94">
        <v>0</v>
      </c>
      <c r="G62" s="94"/>
      <c r="H62" s="92"/>
      <c r="I62" s="91">
        <f t="shared" si="11"/>
        <v>0</v>
      </c>
      <c r="J62" s="91">
        <v>0</v>
      </c>
    </row>
    <row r="63" spans="1:23" x14ac:dyDescent="0.35">
      <c r="A63" s="24" t="s">
        <v>62</v>
      </c>
      <c r="B63" s="23">
        <v>4040</v>
      </c>
      <c r="C63" s="55"/>
      <c r="D63" s="55"/>
      <c r="E63" s="91">
        <f t="shared" si="1"/>
        <v>0</v>
      </c>
      <c r="F63" s="94">
        <v>0</v>
      </c>
      <c r="G63" s="94"/>
      <c r="H63" s="92"/>
      <c r="I63" s="91">
        <f t="shared" si="11"/>
        <v>0</v>
      </c>
      <c r="J63" s="91">
        <v>0</v>
      </c>
    </row>
    <row r="64" spans="1:23" x14ac:dyDescent="0.35">
      <c r="A64" s="227" t="s">
        <v>95</v>
      </c>
      <c r="B64" s="228"/>
      <c r="C64" s="228"/>
      <c r="D64" s="228"/>
      <c r="E64" s="228"/>
      <c r="F64" s="228"/>
      <c r="G64" s="228"/>
      <c r="H64" s="228"/>
      <c r="I64" s="228"/>
      <c r="J64" s="229"/>
    </row>
    <row r="65" spans="1:11" x14ac:dyDescent="0.35">
      <c r="A65" s="68" t="s">
        <v>88</v>
      </c>
      <c r="B65" s="60">
        <v>5010</v>
      </c>
      <c r="C65" s="86">
        <f>C40-C41</f>
        <v>8787184.1519999951</v>
      </c>
      <c r="D65" s="86">
        <f>D40-D41</f>
        <v>5157803.9109999985</v>
      </c>
      <c r="E65" s="86">
        <f t="shared" si="1"/>
        <v>-3629380.2409999967</v>
      </c>
      <c r="F65" s="77">
        <f>(D65/C65)*100</f>
        <v>58.696891083431581</v>
      </c>
      <c r="G65" s="86">
        <f>G40-G41</f>
        <v>35222304.612000011</v>
      </c>
      <c r="H65" s="86">
        <f>H40-H41</f>
        <v>10113119.880000003</v>
      </c>
      <c r="I65" s="86">
        <f>H65-G65</f>
        <v>-25109184.732000008</v>
      </c>
      <c r="J65" s="86">
        <f>(H65/G65)*100</f>
        <v>28.712260572962418</v>
      </c>
      <c r="K65" s="103"/>
    </row>
    <row r="66" spans="1:11" x14ac:dyDescent="0.35">
      <c r="A66" s="62" t="s">
        <v>89</v>
      </c>
      <c r="B66" s="18">
        <v>5011</v>
      </c>
      <c r="C66" s="91">
        <f>C65-C67</f>
        <v>8787184.1519999951</v>
      </c>
      <c r="D66" s="91">
        <f>D65-D67</f>
        <v>5157803.9109999985</v>
      </c>
      <c r="E66" s="91">
        <f t="shared" si="1"/>
        <v>-3629380.2409999967</v>
      </c>
      <c r="F66" s="94">
        <f>(D66/C66)*100</f>
        <v>58.696891083431581</v>
      </c>
      <c r="G66" s="91">
        <f>G65-G67</f>
        <v>35222304.612000011</v>
      </c>
      <c r="H66" s="91">
        <f>H65-H67</f>
        <v>10113119.880000003</v>
      </c>
      <c r="I66" s="91">
        <f>H66-G66</f>
        <v>-25109184.732000008</v>
      </c>
      <c r="J66" s="91">
        <f>(H66/G66)*100</f>
        <v>28.712260572962418</v>
      </c>
    </row>
    <row r="67" spans="1:11" x14ac:dyDescent="0.35">
      <c r="A67" s="69" t="s">
        <v>90</v>
      </c>
      <c r="B67" s="18">
        <v>5012</v>
      </c>
      <c r="C67" s="91"/>
      <c r="D67" s="91"/>
      <c r="E67" s="91"/>
      <c r="F67" s="94">
        <v>0</v>
      </c>
      <c r="G67" s="91"/>
      <c r="H67" s="92"/>
      <c r="I67" s="92"/>
      <c r="J67" s="91">
        <v>0</v>
      </c>
    </row>
    <row r="68" spans="1:11" x14ac:dyDescent="0.35">
      <c r="A68" s="223" t="s">
        <v>96</v>
      </c>
      <c r="B68" s="224"/>
      <c r="C68" s="224"/>
      <c r="D68" s="224"/>
      <c r="E68" s="224"/>
      <c r="F68" s="224"/>
      <c r="G68" s="224"/>
      <c r="H68" s="224"/>
      <c r="I68" s="224"/>
      <c r="J68" s="225"/>
    </row>
    <row r="69" spans="1:11" x14ac:dyDescent="0.35">
      <c r="A69" s="56" t="s">
        <v>50</v>
      </c>
      <c r="B69" s="60">
        <v>6010</v>
      </c>
      <c r="C69" s="86">
        <f>C70+C71+C72+C73+C74+C75</f>
        <v>8020811.3799999999</v>
      </c>
      <c r="D69" s="86">
        <f>D70+D71+D72+D73+D74+D75</f>
        <v>5710201.5899999999</v>
      </c>
      <c r="E69" s="86">
        <f t="shared" ref="E69:E75" si="12">D69-C69</f>
        <v>-2310609.79</v>
      </c>
      <c r="F69" s="77">
        <f t="shared" ref="F69:F75" si="13">(D69/C69)*100</f>
        <v>71.192318575630182</v>
      </c>
      <c r="G69" s="86">
        <f>G70+G71+G72+G73+G74+G75</f>
        <v>13067064.140000001</v>
      </c>
      <c r="H69" s="86">
        <f>H70+H71+H72+H73+H74+H75</f>
        <v>10756454.35</v>
      </c>
      <c r="I69" s="86">
        <f t="shared" ref="I69:I75" si="14">H69-G69</f>
        <v>-2310609.790000001</v>
      </c>
      <c r="J69" s="86">
        <f t="shared" ref="J69:J75" si="15">(H69/G69)*100</f>
        <v>82.317299699119701</v>
      </c>
    </row>
    <row r="70" spans="1:11" x14ac:dyDescent="0.35">
      <c r="A70" s="39" t="s">
        <v>44</v>
      </c>
      <c r="B70" s="21">
        <v>6011</v>
      </c>
      <c r="C70" s="53"/>
      <c r="D70" s="53">
        <f>'Додаток 1 Фін.план'!G81</f>
        <v>0</v>
      </c>
      <c r="E70" s="91">
        <f t="shared" si="12"/>
        <v>0</v>
      </c>
      <c r="F70" s="94">
        <v>0</v>
      </c>
      <c r="G70" s="76">
        <f>C70</f>
        <v>0</v>
      </c>
      <c r="H70" s="76">
        <f>'Додаток 1 Фін.план'!F81+'Додаток 1 Фін.план'!G81</f>
        <v>0</v>
      </c>
      <c r="I70" s="91">
        <f t="shared" si="14"/>
        <v>0</v>
      </c>
      <c r="J70" s="91">
        <v>0</v>
      </c>
    </row>
    <row r="71" spans="1:11" x14ac:dyDescent="0.35">
      <c r="A71" s="27" t="s">
        <v>45</v>
      </c>
      <c r="B71" s="21">
        <v>6012</v>
      </c>
      <c r="C71" s="55">
        <v>290063.46999999997</v>
      </c>
      <c r="D71" s="53">
        <f>'Додаток 1 Фін.план'!G82</f>
        <v>205674.97</v>
      </c>
      <c r="E71" s="91">
        <f t="shared" si="12"/>
        <v>-84388.499999999971</v>
      </c>
      <c r="F71" s="94">
        <f t="shared" si="13"/>
        <v>70.906884620803851</v>
      </c>
      <c r="G71" s="76">
        <f>181930.81+C71</f>
        <v>471994.27999999997</v>
      </c>
      <c r="H71" s="76">
        <f>'Додаток 1 Фін.план'!F82+'Додаток 1 Фін.план'!G82</f>
        <v>387605.78</v>
      </c>
      <c r="I71" s="91">
        <f t="shared" si="14"/>
        <v>-84388.499999999942</v>
      </c>
      <c r="J71" s="91">
        <f t="shared" si="15"/>
        <v>82.120863837587194</v>
      </c>
    </row>
    <row r="72" spans="1:11" x14ac:dyDescent="0.35">
      <c r="A72" s="27" t="s">
        <v>46</v>
      </c>
      <c r="B72" s="21">
        <v>6013</v>
      </c>
      <c r="C72" s="55"/>
      <c r="D72" s="53">
        <f>'Додаток 1 Фін.план'!G83</f>
        <v>0</v>
      </c>
      <c r="E72" s="91">
        <f t="shared" si="12"/>
        <v>0</v>
      </c>
      <c r="F72" s="94">
        <v>0</v>
      </c>
      <c r="G72" s="76">
        <f t="shared" ref="G72:G75" si="16">C72</f>
        <v>0</v>
      </c>
      <c r="H72" s="76">
        <f>'Додаток 1 Фін.план'!F83+'Додаток 1 Фін.план'!G83</f>
        <v>0</v>
      </c>
      <c r="I72" s="91">
        <f t="shared" si="14"/>
        <v>0</v>
      </c>
      <c r="J72" s="91">
        <v>0</v>
      </c>
    </row>
    <row r="73" spans="1:11" x14ac:dyDescent="0.35">
      <c r="A73" s="27" t="s">
        <v>47</v>
      </c>
      <c r="B73" s="21">
        <v>6014</v>
      </c>
      <c r="C73" s="55">
        <v>3480762.06</v>
      </c>
      <c r="D73" s="53">
        <f>'Додаток 1 Фін.план'!G84</f>
        <v>2438829.61</v>
      </c>
      <c r="E73" s="91">
        <f t="shared" si="12"/>
        <v>-1041932.4500000002</v>
      </c>
      <c r="F73" s="94">
        <f t="shared" si="13"/>
        <v>70.065967393358676</v>
      </c>
      <c r="G73" s="76">
        <f>2183168.5+C73</f>
        <v>5663930.5600000005</v>
      </c>
      <c r="H73" s="76">
        <f>'Додаток 1 Фін.план'!F84+'Додаток 1 Фін.план'!G84</f>
        <v>4621998.1099999994</v>
      </c>
      <c r="I73" s="91">
        <f t="shared" si="14"/>
        <v>-1041932.4500000011</v>
      </c>
      <c r="J73" s="91">
        <f t="shared" si="15"/>
        <v>81.604074432720424</v>
      </c>
    </row>
    <row r="74" spans="1:11" x14ac:dyDescent="0.35">
      <c r="A74" s="71" t="s">
        <v>48</v>
      </c>
      <c r="B74" s="21">
        <v>6015</v>
      </c>
      <c r="C74" s="98">
        <v>4249985.8499999996</v>
      </c>
      <c r="D74" s="53">
        <f>'Додаток 1 Фін.план'!G85</f>
        <v>3065697.01</v>
      </c>
      <c r="E74" s="91">
        <f t="shared" si="12"/>
        <v>-1184288.8399999999</v>
      </c>
      <c r="F74" s="94">
        <f t="shared" si="13"/>
        <v>72.134287458862957</v>
      </c>
      <c r="G74" s="76">
        <f>2681153.45+C74</f>
        <v>6931139.2999999998</v>
      </c>
      <c r="H74" s="76">
        <f>'Додаток 1 Фін.план'!F85+'Додаток 1 Фін.план'!G85</f>
        <v>5746850.46</v>
      </c>
      <c r="I74" s="91">
        <f t="shared" si="14"/>
        <v>-1184288.8399999999</v>
      </c>
      <c r="J74" s="91">
        <f t="shared" si="15"/>
        <v>82.9135039891638</v>
      </c>
    </row>
    <row r="75" spans="1:11" x14ac:dyDescent="0.35">
      <c r="A75" s="29" t="s">
        <v>49</v>
      </c>
      <c r="B75" s="21">
        <v>6016</v>
      </c>
      <c r="C75" s="91"/>
      <c r="D75" s="53">
        <f>'Додаток 1 Фін.план'!F86</f>
        <v>0</v>
      </c>
      <c r="E75" s="91">
        <f t="shared" si="12"/>
        <v>0</v>
      </c>
      <c r="F75" s="94">
        <v>0</v>
      </c>
      <c r="G75" s="76">
        <f t="shared" si="16"/>
        <v>0</v>
      </c>
      <c r="H75" s="76">
        <f>'Додаток 1 Фін.план'!F86+'Додаток 1 Фін.план'!G86</f>
        <v>0</v>
      </c>
      <c r="I75" s="91">
        <f t="shared" si="14"/>
        <v>0</v>
      </c>
      <c r="J75" s="91">
        <v>0</v>
      </c>
    </row>
    <row r="76" spans="1:11" x14ac:dyDescent="0.35">
      <c r="A76" s="198" t="s">
        <v>97</v>
      </c>
      <c r="B76" s="199"/>
      <c r="C76" s="199"/>
      <c r="D76" s="199"/>
      <c r="E76" s="199"/>
      <c r="F76" s="199"/>
      <c r="G76" s="199"/>
      <c r="H76" s="199"/>
      <c r="I76" s="199"/>
      <c r="J76" s="200"/>
    </row>
    <row r="77" spans="1:11" x14ac:dyDescent="0.35">
      <c r="A77" s="42" t="s">
        <v>76</v>
      </c>
      <c r="B77" s="21">
        <v>7010</v>
      </c>
      <c r="C77" s="31"/>
      <c r="D77" s="31"/>
      <c r="E77" s="31"/>
      <c r="F77" s="31"/>
      <c r="G77" s="31">
        <v>357</v>
      </c>
      <c r="H77" s="31">
        <v>357</v>
      </c>
      <c r="I77" s="31"/>
      <c r="J77" s="31"/>
    </row>
    <row r="78" spans="1:11" x14ac:dyDescent="0.35">
      <c r="A78" s="42"/>
      <c r="B78" s="21"/>
      <c r="C78" s="31"/>
      <c r="D78" s="31"/>
      <c r="E78" s="31"/>
      <c r="F78" s="31"/>
      <c r="G78" s="31" t="s">
        <v>98</v>
      </c>
      <c r="H78" s="105" t="s">
        <v>100</v>
      </c>
      <c r="I78" s="105" t="s">
        <v>101</v>
      </c>
      <c r="J78" s="105" t="s">
        <v>99</v>
      </c>
      <c r="K78" s="100"/>
    </row>
    <row r="79" spans="1:11" x14ac:dyDescent="0.35">
      <c r="A79" s="42" t="s">
        <v>54</v>
      </c>
      <c r="B79" s="23">
        <v>7011</v>
      </c>
      <c r="C79" s="15"/>
      <c r="D79" s="15"/>
      <c r="E79" s="15"/>
      <c r="F79" s="15"/>
      <c r="G79" s="55">
        <f>'Додаток 1 Фін.план'!F90</f>
        <v>74944067.280000001</v>
      </c>
      <c r="H79" s="55">
        <f>'Додаток 1 Фін.план'!G90</f>
        <v>80087767.670000002</v>
      </c>
      <c r="I79" s="15"/>
      <c r="J79" s="22"/>
    </row>
    <row r="80" spans="1:11" x14ac:dyDescent="0.35">
      <c r="A80" s="42" t="s">
        <v>77</v>
      </c>
      <c r="B80" s="23">
        <v>7012</v>
      </c>
      <c r="C80" s="15"/>
      <c r="D80" s="15"/>
      <c r="E80" s="15"/>
      <c r="F80" s="15"/>
      <c r="G80" s="55">
        <f>'Додаток 1 Фін.план'!F91</f>
        <v>0</v>
      </c>
      <c r="H80" s="55">
        <f>'Додаток 1 Фін.план'!G91</f>
        <v>0</v>
      </c>
      <c r="I80" s="16"/>
      <c r="J80" s="16"/>
    </row>
    <row r="81" spans="1:10" x14ac:dyDescent="0.35">
      <c r="A81" s="42" t="s">
        <v>78</v>
      </c>
      <c r="B81" s="23">
        <v>7013</v>
      </c>
      <c r="C81" s="15"/>
      <c r="D81" s="15"/>
      <c r="E81" s="15"/>
      <c r="F81" s="15"/>
      <c r="G81" s="55">
        <f>'Додаток 1 Фін.план'!F92</f>
        <v>0</v>
      </c>
      <c r="H81" s="55">
        <f>'Додаток 1 Фін.план'!G92</f>
        <v>0</v>
      </c>
      <c r="I81" s="16"/>
      <c r="J81" s="16"/>
    </row>
    <row r="82" spans="1:10" x14ac:dyDescent="0.35">
      <c r="A82" s="42" t="s">
        <v>79</v>
      </c>
      <c r="B82" s="46">
        <v>7016</v>
      </c>
      <c r="C82" s="47"/>
      <c r="D82" s="47"/>
      <c r="E82" s="47"/>
      <c r="F82" s="47"/>
      <c r="G82" s="55">
        <f>'Додаток 1 Фін.план'!F93</f>
        <v>3631904</v>
      </c>
      <c r="H82" s="55">
        <f>'Додаток 1 Фін.план'!G93</f>
        <v>6631199.8700000001</v>
      </c>
      <c r="I82" s="16"/>
      <c r="J82" s="48"/>
    </row>
    <row r="83" spans="1:10" x14ac:dyDescent="0.35">
      <c r="A83" s="42" t="s">
        <v>80</v>
      </c>
      <c r="B83" s="18">
        <v>7020</v>
      </c>
      <c r="C83" s="145"/>
      <c r="D83" s="59"/>
      <c r="E83" s="59"/>
      <c r="F83" s="59"/>
      <c r="G83" s="55">
        <f>'Додаток 1 Фін.план'!F94</f>
        <v>75309.19</v>
      </c>
      <c r="H83" s="55">
        <f>'Додаток 1 Фін.план'!G94</f>
        <v>4040270.28</v>
      </c>
      <c r="I83" s="16"/>
      <c r="J83" s="43"/>
    </row>
    <row r="84" spans="1:10" x14ac:dyDescent="0.35">
      <c r="A84" s="44"/>
      <c r="B84" s="40"/>
      <c r="C84" s="41"/>
      <c r="D84" s="41"/>
      <c r="E84" s="41"/>
      <c r="F84" s="41"/>
      <c r="G84" s="41"/>
      <c r="H84" s="45"/>
      <c r="I84" s="45"/>
      <c r="J84" s="45"/>
    </row>
    <row r="85" spans="1:10" x14ac:dyDescent="0.35">
      <c r="A85" s="33" t="s">
        <v>18</v>
      </c>
      <c r="B85" s="34"/>
      <c r="C85" s="141"/>
      <c r="D85" s="34"/>
      <c r="E85" s="35"/>
      <c r="F85" s="247" t="s">
        <v>141</v>
      </c>
      <c r="G85" s="247"/>
      <c r="H85" s="36"/>
      <c r="I85" s="37"/>
      <c r="J85" s="37"/>
    </row>
    <row r="86" spans="1:10" x14ac:dyDescent="0.35">
      <c r="A86" s="38"/>
      <c r="B86" s="74"/>
      <c r="C86" s="142" t="s">
        <v>19</v>
      </c>
      <c r="D86" s="75"/>
      <c r="E86" s="206" t="s">
        <v>20</v>
      </c>
      <c r="F86" s="206"/>
      <c r="G86" s="206"/>
    </row>
    <row r="87" spans="1:10" x14ac:dyDescent="0.35">
      <c r="A87" s="38" t="s">
        <v>21</v>
      </c>
      <c r="B87" s="74"/>
      <c r="C87" s="141"/>
      <c r="D87" s="74"/>
      <c r="E87" s="74"/>
      <c r="F87" s="230" t="s">
        <v>149</v>
      </c>
      <c r="G87" s="230"/>
    </row>
    <row r="88" spans="1:10" x14ac:dyDescent="0.35">
      <c r="A88" s="38"/>
      <c r="B88" s="74"/>
      <c r="C88" s="142" t="s">
        <v>19</v>
      </c>
      <c r="D88" s="75"/>
      <c r="E88" s="206" t="s">
        <v>20</v>
      </c>
      <c r="F88" s="206"/>
      <c r="G88" s="206"/>
    </row>
    <row r="89" spans="1:10" x14ac:dyDescent="0.35">
      <c r="A89"/>
      <c r="B89"/>
      <c r="C89" s="135"/>
      <c r="D89"/>
      <c r="E89"/>
      <c r="F89"/>
      <c r="G89" s="135"/>
    </row>
    <row r="90" spans="1:10" x14ac:dyDescent="0.35">
      <c r="A90"/>
      <c r="B90"/>
      <c r="C90" s="135"/>
      <c r="D90"/>
      <c r="E90"/>
      <c r="F90"/>
      <c r="G90" s="135"/>
    </row>
    <row r="91" spans="1:10" x14ac:dyDescent="0.35">
      <c r="A91"/>
      <c r="B91"/>
      <c r="C91" s="135"/>
      <c r="D91"/>
      <c r="E91"/>
      <c r="F91"/>
      <c r="G91" s="135"/>
    </row>
  </sheetData>
  <mergeCells count="21">
    <mergeCell ref="E2:J2"/>
    <mergeCell ref="A4:J4"/>
    <mergeCell ref="A5:J5"/>
    <mergeCell ref="A6:J6"/>
    <mergeCell ref="A7:J7"/>
    <mergeCell ref="A53:J53"/>
    <mergeCell ref="A68:J68"/>
    <mergeCell ref="K47:W52"/>
    <mergeCell ref="E88:G88"/>
    <mergeCell ref="A9:A10"/>
    <mergeCell ref="B9:B10"/>
    <mergeCell ref="G9:J9"/>
    <mergeCell ref="C9:F9"/>
    <mergeCell ref="A12:J12"/>
    <mergeCell ref="A28:J28"/>
    <mergeCell ref="A42:J42"/>
    <mergeCell ref="A76:J76"/>
    <mergeCell ref="F85:G85"/>
    <mergeCell ref="E86:G86"/>
    <mergeCell ref="F87:G87"/>
    <mergeCell ref="A64:J64"/>
  </mergeCells>
  <pageMargins left="0.43307086614173229" right="0.23622047244094491" top="0.74803149606299213" bottom="0.74803149606299213" header="0" footer="0"/>
  <pageSetup paperSize="9" scale="55" fitToHeight="2" orientation="landscape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1 Фін.план</vt:lpstr>
      <vt:lpstr>Додаток 2 Фін.звіт</vt:lpstr>
      <vt:lpstr>'Додаток 1 Фін.план'!Область_печати</vt:lpstr>
      <vt:lpstr>'Додаток 2 Фін.звіт'!Область_печати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2022-08-12T11:33:40Z</dcterms:modified>
</cp:coreProperties>
</file>