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ФИН плани\Фінплан 2022\звіт фінплан за 2022\"/>
    </mc:Choice>
  </mc:AlternateContent>
  <xr:revisionPtr revIDLastSave="0" documentId="13_ncr:1_{33FBAC13-C0A4-4FCF-A5AB-ECA24BB2CB93}" xr6:coauthVersionLast="47" xr6:coauthVersionMax="47" xr10:uidLastSave="{00000000-0000-0000-0000-000000000000}"/>
  <bookViews>
    <workbookView xWindow="-110" yWindow="-110" windowWidth="19420" windowHeight="10420" tabRatio="844" firstSheet="2" activeTab="7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state="hidden" r:id="rId4"/>
    <sheet name="3. Рух грошових коштів " sheetId="21" r:id="rId5"/>
    <sheet name="4. Кап. інвестиції" sheetId="3" r:id="rId6"/>
    <sheet name=" 5. Коефіцієнти" sheetId="11" r:id="rId7"/>
    <sheet name="6.1. Інша інфо_1" sheetId="10" r:id="rId8"/>
    <sheet name="6.2. Інша інфо_2" sheetId="9" r:id="rId9"/>
    <sheet name="Лист1" sheetId="2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_xlnm._FilterDatabase" localSheetId="1" hidden="1">'1. Фін результат'!$A$9:$H$143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5. Коефіцієнти'!$A$1:$F$25</definedName>
    <definedName name="_xlnm.Print_Area" localSheetId="1">'1. Фін результат'!$A$1:$H$163</definedName>
    <definedName name="_xlnm.Print_Area" localSheetId="2">'2. Розрахунки з бюджетом'!$A$1:$G$45</definedName>
    <definedName name="_xlnm.Print_Area" localSheetId="3">'3. Рух грошових коштів'!$A$1:$I$89</definedName>
    <definedName name="_xlnm.Print_Area" localSheetId="4">'3. Рух грошових коштів '!$A$1:$G$94</definedName>
    <definedName name="_xlnm.Print_Area" localSheetId="5">'4. Кап. інвестиції'!$A$1:$G$18</definedName>
    <definedName name="_xlnm.Print_Area" localSheetId="7">'6.1. Інша інфо_1'!$A$1:$O$80</definedName>
    <definedName name="_xlnm.Print_Area" localSheetId="8">'6.2. Інша інфо_2'!$A$1:$V$72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J30" i="10" l="1"/>
  <c r="B31" i="14"/>
  <c r="C31" i="14"/>
  <c r="D31" i="14"/>
  <c r="E31" i="14"/>
  <c r="F31" i="14" s="1"/>
  <c r="G31" i="14"/>
  <c r="B32" i="14"/>
  <c r="C32" i="14"/>
  <c r="D32" i="14"/>
  <c r="E32" i="14"/>
  <c r="F32" i="14" s="1"/>
  <c r="G32" i="14"/>
  <c r="B33" i="14"/>
  <c r="C33" i="14"/>
  <c r="D33" i="14"/>
  <c r="E33" i="14"/>
  <c r="F33" i="14" s="1"/>
  <c r="G33" i="14"/>
  <c r="B34" i="14"/>
  <c r="C34" i="14"/>
  <c r="D34" i="14"/>
  <c r="E34" i="14"/>
  <c r="F34" i="14" s="1"/>
  <c r="G34" i="14"/>
  <c r="B35" i="14"/>
  <c r="C35" i="14"/>
  <c r="D35" i="14"/>
  <c r="E35" i="14"/>
  <c r="F35" i="14" s="1"/>
  <c r="G35" i="14"/>
  <c r="B36" i="14"/>
  <c r="C36" i="14"/>
  <c r="D36" i="14"/>
  <c r="E36" i="14"/>
  <c r="F36" i="14" s="1"/>
  <c r="G36" i="14"/>
  <c r="B37" i="14"/>
  <c r="C37" i="14"/>
  <c r="D37" i="14"/>
  <c r="E37" i="14"/>
  <c r="F37" i="14" s="1"/>
  <c r="G37" i="14"/>
  <c r="B38" i="14"/>
  <c r="C38" i="14"/>
  <c r="D38" i="14"/>
  <c r="E38" i="14"/>
  <c r="F38" i="14" s="1"/>
  <c r="G38" i="14"/>
  <c r="B39" i="14"/>
  <c r="C39" i="14"/>
  <c r="D39" i="14"/>
  <c r="E39" i="14"/>
  <c r="F39" i="14" s="1"/>
  <c r="G39" i="14"/>
  <c r="B40" i="14"/>
  <c r="C40" i="14"/>
  <c r="D40" i="14"/>
  <c r="E40" i="14"/>
  <c r="F40" i="14" s="1"/>
  <c r="G40" i="14"/>
  <c r="B41" i="14"/>
  <c r="C41" i="14"/>
  <c r="D41" i="14"/>
  <c r="E41" i="14"/>
  <c r="F41" i="14" s="1"/>
  <c r="G41" i="14"/>
  <c r="B42" i="14"/>
  <c r="C42" i="14"/>
  <c r="D42" i="14"/>
  <c r="E42" i="14"/>
  <c r="F42" i="14" s="1"/>
  <c r="G42" i="14"/>
  <c r="B43" i="14"/>
  <c r="C43" i="14"/>
  <c r="D43" i="14"/>
  <c r="E43" i="14"/>
  <c r="F43" i="14" s="1"/>
  <c r="G43" i="14"/>
  <c r="B44" i="14"/>
  <c r="C44" i="14"/>
  <c r="D44" i="14"/>
  <c r="E44" i="14"/>
  <c r="F44" i="14" s="1"/>
  <c r="G44" i="14"/>
  <c r="B45" i="14"/>
  <c r="C45" i="14"/>
  <c r="D45" i="14"/>
  <c r="E45" i="14"/>
  <c r="F45" i="14" s="1"/>
  <c r="G45" i="14"/>
  <c r="B47" i="14"/>
  <c r="C47" i="14"/>
  <c r="D47" i="14"/>
  <c r="E47" i="14"/>
  <c r="F47" i="14" s="1"/>
  <c r="G47" i="14"/>
  <c r="B48" i="14"/>
  <c r="C48" i="14"/>
  <c r="D48" i="14"/>
  <c r="E48" i="14"/>
  <c r="F48" i="14" s="1"/>
  <c r="G48" i="14"/>
  <c r="C49" i="14"/>
  <c r="D49" i="14"/>
  <c r="G49" i="14" s="1"/>
  <c r="E49" i="14"/>
  <c r="F49" i="14"/>
  <c r="B50" i="14"/>
  <c r="C50" i="14"/>
  <c r="D50" i="14"/>
  <c r="G50" i="14" s="1"/>
  <c r="E50" i="14"/>
  <c r="F50" i="14"/>
  <c r="B51" i="14"/>
  <c r="C51" i="14"/>
  <c r="D51" i="14"/>
  <c r="G51" i="14" s="1"/>
  <c r="E51" i="14"/>
  <c r="F51" i="14"/>
  <c r="B52" i="14"/>
  <c r="C52" i="14"/>
  <c r="D52" i="14"/>
  <c r="G52" i="14" s="1"/>
  <c r="E52" i="14"/>
  <c r="F52" i="14"/>
  <c r="B54" i="14"/>
  <c r="C54" i="14"/>
  <c r="D54" i="14"/>
  <c r="G54" i="14" s="1"/>
  <c r="E54" i="14"/>
  <c r="F54" i="14"/>
  <c r="B55" i="14"/>
  <c r="C55" i="14"/>
  <c r="D55" i="14"/>
  <c r="G55" i="14" s="1"/>
  <c r="E55" i="14"/>
  <c r="F55" i="14"/>
  <c r="B56" i="14"/>
  <c r="C56" i="14"/>
  <c r="D56" i="14"/>
  <c r="G56" i="14" s="1"/>
  <c r="E56" i="14"/>
  <c r="F56" i="14"/>
  <c r="B57" i="14"/>
  <c r="C57" i="14"/>
  <c r="D57" i="14"/>
  <c r="G57" i="14" s="1"/>
  <c r="E57" i="14"/>
  <c r="F57" i="14"/>
  <c r="B58" i="14"/>
  <c r="F58" i="14"/>
  <c r="G58" i="14"/>
  <c r="B59" i="14"/>
  <c r="C59" i="14"/>
  <c r="D59" i="14"/>
  <c r="E59" i="14"/>
  <c r="F59" i="14" s="1"/>
  <c r="G59" i="14"/>
  <c r="B61" i="14"/>
  <c r="C61" i="14"/>
  <c r="D61" i="14"/>
  <c r="E61" i="14"/>
  <c r="F61" i="14" s="1"/>
  <c r="G61" i="14"/>
  <c r="B63" i="14"/>
  <c r="B64" i="14"/>
  <c r="B65" i="14"/>
  <c r="D67" i="14"/>
  <c r="F67" i="14"/>
  <c r="G67" i="14"/>
  <c r="F68" i="14"/>
  <c r="G68" i="14"/>
  <c r="F69" i="14"/>
  <c r="G69" i="14"/>
  <c r="D70" i="14"/>
  <c r="D63" i="14" s="1"/>
  <c r="E70" i="14"/>
  <c r="F70" i="14"/>
  <c r="F71" i="14"/>
  <c r="G71" i="14"/>
  <c r="F72" i="14"/>
  <c r="G72" i="14"/>
  <c r="D73" i="14"/>
  <c r="G73" i="14" s="1"/>
  <c r="E73" i="14"/>
  <c r="F73" i="14"/>
  <c r="F74" i="14"/>
  <c r="G74" i="14"/>
  <c r="F75" i="14"/>
  <c r="G75" i="14"/>
  <c r="E81" i="21"/>
  <c r="E66" i="21"/>
  <c r="H23" i="10"/>
  <c r="H22" i="10"/>
  <c r="H21" i="10"/>
  <c r="H25" i="10"/>
  <c r="H26" i="10"/>
  <c r="H27" i="10"/>
  <c r="D76" i="14" l="1"/>
  <c r="G70" i="14"/>
  <c r="C19" i="2"/>
  <c r="D11" i="2"/>
  <c r="S31" i="9"/>
  <c r="E105" i="2"/>
  <c r="E92" i="2"/>
  <c r="D64" i="14" l="1"/>
  <c r="G76" i="14"/>
  <c r="D65" i="14"/>
  <c r="F76" i="14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L39" i="9"/>
  <c r="M38" i="9"/>
  <c r="M37" i="9"/>
  <c r="M36" i="9"/>
  <c r="M35" i="9"/>
  <c r="M34" i="9"/>
  <c r="M33" i="9"/>
  <c r="M32" i="9"/>
  <c r="J31" i="9"/>
  <c r="I31" i="9"/>
  <c r="M55" i="9" l="1"/>
  <c r="M56" i="9"/>
  <c r="S41" i="9"/>
  <c r="T41" i="9"/>
  <c r="U41" i="9"/>
  <c r="S42" i="9"/>
  <c r="T42" i="9"/>
  <c r="U42" i="9"/>
  <c r="S43" i="9"/>
  <c r="T43" i="9"/>
  <c r="U43" i="9"/>
  <c r="S44" i="9"/>
  <c r="T44" i="9"/>
  <c r="U44" i="9"/>
  <c r="S45" i="9"/>
  <c r="T45" i="9"/>
  <c r="U45" i="9"/>
  <c r="S46" i="9"/>
  <c r="T46" i="9"/>
  <c r="U46" i="9"/>
  <c r="S47" i="9"/>
  <c r="T47" i="9"/>
  <c r="U47" i="9"/>
  <c r="S48" i="9"/>
  <c r="T48" i="9"/>
  <c r="U48" i="9"/>
  <c r="S49" i="9"/>
  <c r="T49" i="9"/>
  <c r="U49" i="9"/>
  <c r="S50" i="9"/>
  <c r="T50" i="9"/>
  <c r="U50" i="9"/>
  <c r="S51" i="9"/>
  <c r="T51" i="9"/>
  <c r="U51" i="9"/>
  <c r="S52" i="9"/>
  <c r="T52" i="9"/>
  <c r="U52" i="9"/>
  <c r="S53" i="9"/>
  <c r="T53" i="9"/>
  <c r="U53" i="9"/>
  <c r="S54" i="9"/>
  <c r="T54" i="9"/>
  <c r="S55" i="9"/>
  <c r="U55" i="9"/>
  <c r="L55" i="9"/>
  <c r="L57" i="9" s="1"/>
  <c r="T55" i="9" l="1"/>
  <c r="M54" i="9"/>
  <c r="U54" i="9" s="1"/>
  <c r="H52" i="10"/>
  <c r="G53" i="10"/>
  <c r="H53" i="10"/>
  <c r="J29" i="10" l="1"/>
  <c r="J18" i="10"/>
  <c r="J31" i="10" s="1"/>
  <c r="E21" i="2" l="1"/>
  <c r="E22" i="2"/>
  <c r="E65" i="2"/>
  <c r="E57" i="2" s="1"/>
  <c r="E35" i="2" s="1"/>
  <c r="E18" i="2" l="1"/>
  <c r="E25" i="2"/>
  <c r="E19" i="2" s="1"/>
  <c r="E15" i="2"/>
  <c r="E139" i="2" s="1"/>
  <c r="E16" i="2"/>
  <c r="E140" i="2" s="1"/>
  <c r="E14" i="2"/>
  <c r="E11" i="2" l="1"/>
  <c r="J22" i="10"/>
  <c r="D53" i="10"/>
  <c r="D52" i="10"/>
  <c r="D51" i="10"/>
  <c r="D50" i="10"/>
  <c r="D15" i="21"/>
  <c r="D24" i="19"/>
  <c r="D141" i="2"/>
  <c r="D130" i="2" s="1"/>
  <c r="D140" i="2"/>
  <c r="D139" i="2"/>
  <c r="D138" i="2"/>
  <c r="D137" i="2"/>
  <c r="D132" i="2"/>
  <c r="D131" i="2"/>
  <c r="D124" i="2"/>
  <c r="D111" i="2"/>
  <c r="D105" i="2"/>
  <c r="D92" i="2"/>
  <c r="D87" i="2" s="1"/>
  <c r="D123" i="2" s="1"/>
  <c r="D79" i="2"/>
  <c r="D73" i="2" s="1"/>
  <c r="D67" i="2" s="1"/>
  <c r="D57" i="2"/>
  <c r="D35" i="2" s="1"/>
  <c r="D9" i="2"/>
  <c r="D126" i="2" l="1"/>
  <c r="J26" i="10"/>
  <c r="D125" i="2"/>
  <c r="D127" i="2"/>
  <c r="D136" i="2"/>
  <c r="D31" i="2"/>
  <c r="D99" i="2" s="1"/>
  <c r="D115" i="2" s="1"/>
  <c r="D118" i="2" s="1"/>
  <c r="D119" i="2" s="1"/>
  <c r="D142" i="2"/>
  <c r="D143" i="2" s="1"/>
  <c r="D129" i="2" l="1"/>
  <c r="C52" i="21" l="1"/>
  <c r="C141" i="2"/>
  <c r="C140" i="2"/>
  <c r="C139" i="2"/>
  <c r="C138" i="2"/>
  <c r="C137" i="2"/>
  <c r="C136" i="2" s="1"/>
  <c r="C57" i="2"/>
  <c r="T32" i="9"/>
  <c r="T33" i="9"/>
  <c r="T34" i="9"/>
  <c r="T35" i="9"/>
  <c r="T36" i="9"/>
  <c r="T37" i="9"/>
  <c r="T38" i="9"/>
  <c r="T40" i="9"/>
  <c r="S39" i="9"/>
  <c r="S40" i="9"/>
  <c r="N32" i="9"/>
  <c r="N33" i="9"/>
  <c r="N34" i="9"/>
  <c r="N35" i="9"/>
  <c r="N36" i="9"/>
  <c r="N37" i="9"/>
  <c r="N38" i="9"/>
  <c r="N40" i="9"/>
  <c r="E141" i="2"/>
  <c r="V40" i="9" l="1"/>
  <c r="E18" i="11"/>
  <c r="S32" i="9"/>
  <c r="V32" i="9" s="1"/>
  <c r="S33" i="9"/>
  <c r="V33" i="9" s="1"/>
  <c r="S34" i="9"/>
  <c r="V34" i="9" s="1"/>
  <c r="S35" i="9"/>
  <c r="V35" i="9" s="1"/>
  <c r="S36" i="9"/>
  <c r="V36" i="9" s="1"/>
  <c r="S37" i="9"/>
  <c r="V37" i="9" s="1"/>
  <c r="S38" i="9"/>
  <c r="V38" i="9" s="1"/>
  <c r="U32" i="9"/>
  <c r="U33" i="9"/>
  <c r="U34" i="9"/>
  <c r="U35" i="9"/>
  <c r="U36" i="9"/>
  <c r="U37" i="9"/>
  <c r="U38" i="9"/>
  <c r="U40" i="9"/>
  <c r="H57" i="9"/>
  <c r="J57" i="9"/>
  <c r="E24" i="19"/>
  <c r="T39" i="9" l="1"/>
  <c r="N39" i="9"/>
  <c r="U39" i="9"/>
  <c r="E79" i="2"/>
  <c r="E73" i="2" s="1"/>
  <c r="E67" i="2" s="1"/>
  <c r="V39" i="9" l="1"/>
  <c r="D16" i="11"/>
  <c r="D14" i="11"/>
  <c r="D13" i="11"/>
  <c r="C65" i="14" s="1"/>
  <c r="C9" i="2" l="1"/>
  <c r="D17" i="11" s="1"/>
  <c r="N57" i="9"/>
  <c r="O57" i="9"/>
  <c r="P57" i="9"/>
  <c r="Q57" i="9"/>
  <c r="R57" i="9"/>
  <c r="D57" i="9"/>
  <c r="E57" i="9"/>
  <c r="F57" i="9"/>
  <c r="G57" i="9"/>
  <c r="C57" i="9"/>
  <c r="D54" i="10"/>
  <c r="G49" i="2" l="1"/>
  <c r="F49" i="2"/>
  <c r="G42" i="2"/>
  <c r="G43" i="2"/>
  <c r="G44" i="2"/>
  <c r="F42" i="2"/>
  <c r="F43" i="2"/>
  <c r="F44" i="2"/>
  <c r="I57" i="9" l="1"/>
  <c r="T31" i="9"/>
  <c r="T57" i="9" s="1"/>
  <c r="E15" i="21" l="1"/>
  <c r="S58" i="9"/>
  <c r="T58" i="9"/>
  <c r="U58" i="9"/>
  <c r="V58" i="9"/>
  <c r="E22" i="21"/>
  <c r="C88" i="21"/>
  <c r="G85" i="21"/>
  <c r="F85" i="21"/>
  <c r="G81" i="21"/>
  <c r="F81" i="21"/>
  <c r="D66" i="21"/>
  <c r="E64" i="21"/>
  <c r="D64" i="21"/>
  <c r="E50" i="21"/>
  <c r="D46" i="21"/>
  <c r="G44" i="21"/>
  <c r="F44" i="21"/>
  <c r="E43" i="21"/>
  <c r="E52" i="21" s="1"/>
  <c r="D52" i="21"/>
  <c r="E30" i="21"/>
  <c r="D30" i="21"/>
  <c r="C30" i="21"/>
  <c r="E12" i="21"/>
  <c r="F12" i="21" s="1"/>
  <c r="G15" i="21" l="1"/>
  <c r="G23" i="21"/>
  <c r="E26" i="21"/>
  <c r="G26" i="21" s="1"/>
  <c r="F30" i="21"/>
  <c r="G52" i="21"/>
  <c r="F52" i="21"/>
  <c r="F66" i="21"/>
  <c r="G66" i="21"/>
  <c r="F15" i="21"/>
  <c r="F23" i="21"/>
  <c r="F43" i="21"/>
  <c r="G43" i="21"/>
  <c r="F26" i="21" l="1"/>
  <c r="E8" i="3"/>
  <c r="F22" i="21"/>
  <c r="G22" i="21"/>
  <c r="F8" i="3" l="1"/>
  <c r="G8" i="3"/>
  <c r="E64" i="18"/>
  <c r="E25" i="18"/>
  <c r="E23" i="18"/>
  <c r="E6" i="3" l="1"/>
  <c r="F29" i="2" l="1"/>
  <c r="G50" i="10" l="1"/>
  <c r="E101" i="2" l="1"/>
  <c r="E11" i="18"/>
  <c r="E61" i="18"/>
  <c r="H85" i="18" l="1"/>
  <c r="E15" i="18"/>
  <c r="C11" i="21" l="1"/>
  <c r="E9" i="2"/>
  <c r="E31" i="2" l="1"/>
  <c r="F27" i="2"/>
  <c r="F28" i="2"/>
  <c r="E6" i="9"/>
  <c r="E7" i="9"/>
  <c r="E8" i="9"/>
  <c r="E9" i="9"/>
  <c r="F10" i="9"/>
  <c r="G10" i="9"/>
  <c r="H10" i="9"/>
  <c r="I10" i="9"/>
  <c r="J10" i="9"/>
  <c r="F22" i="9"/>
  <c r="G22" i="9"/>
  <c r="H22" i="9"/>
  <c r="I22" i="9"/>
  <c r="J22" i="9"/>
  <c r="F6" i="3"/>
  <c r="E10" i="9" l="1"/>
  <c r="G6" i="3"/>
  <c r="C63" i="18" l="1"/>
  <c r="C15" i="18"/>
  <c r="C12" i="18"/>
  <c r="C41" i="19"/>
  <c r="E37" i="19"/>
  <c r="E35" i="19"/>
  <c r="C17" i="19"/>
  <c r="C130" i="2"/>
  <c r="E40" i="19" l="1"/>
  <c r="E138" i="2"/>
  <c r="E137" i="2"/>
  <c r="E111" i="2"/>
  <c r="E22" i="18" l="1"/>
  <c r="E40" i="18"/>
  <c r="E24" i="18"/>
  <c r="I51" i="10" l="1"/>
  <c r="I50" i="10"/>
  <c r="E32" i="2"/>
  <c r="E47" i="18" l="1"/>
  <c r="E12" i="18" l="1"/>
  <c r="F12" i="18" s="1"/>
  <c r="D15" i="18" l="1"/>
  <c r="G41" i="2" l="1"/>
  <c r="F41" i="2"/>
  <c r="E27" i="18" l="1"/>
  <c r="J25" i="10" l="1"/>
  <c r="J27" i="10" s="1"/>
  <c r="H35" i="10"/>
  <c r="E63" i="18"/>
  <c r="D63" i="18"/>
  <c r="D61" i="18"/>
  <c r="D43" i="18"/>
  <c r="D9" i="21" l="1"/>
  <c r="J33" i="10" l="1"/>
  <c r="J34" i="10" l="1"/>
  <c r="H30" i="10"/>
  <c r="E49" i="18" l="1"/>
  <c r="J105" i="2" l="1"/>
  <c r="H34" i="10"/>
  <c r="H33" i="10"/>
  <c r="H31" i="10"/>
  <c r="H29" i="10"/>
  <c r="G57" i="2" l="1"/>
  <c r="F57" i="2"/>
  <c r="E136" i="2"/>
  <c r="F51" i="10"/>
  <c r="F52" i="10"/>
  <c r="F50" i="10"/>
  <c r="H15" i="10"/>
  <c r="H16" i="10"/>
  <c r="H17" i="10"/>
  <c r="H18" i="10"/>
  <c r="H19" i="10"/>
  <c r="H14" i="10"/>
  <c r="E32" i="19"/>
  <c r="E27" i="19" s="1"/>
  <c r="D32" i="19"/>
  <c r="D27" i="19" s="1"/>
  <c r="E131" i="2"/>
  <c r="E132" i="2"/>
  <c r="J111" i="2"/>
  <c r="J35" i="2" l="1"/>
  <c r="J35" i="10"/>
  <c r="E80" i="18"/>
  <c r="N19" i="10"/>
  <c r="L19" i="10"/>
  <c r="D40" i="18"/>
  <c r="C47" i="18"/>
  <c r="D49" i="18" l="1"/>
  <c r="D27" i="18" l="1"/>
  <c r="C40" i="18" l="1"/>
  <c r="C49" i="18" s="1"/>
  <c r="G41" i="18"/>
  <c r="F41" i="18"/>
  <c r="C24" i="18"/>
  <c r="C22" i="18"/>
  <c r="G78" i="18"/>
  <c r="F78" i="18"/>
  <c r="C27" i="18"/>
  <c r="C11" i="18"/>
  <c r="C123" i="2" l="1"/>
  <c r="C11" i="2"/>
  <c r="C125" i="2"/>
  <c r="C142" i="2" l="1"/>
  <c r="C143" i="2" s="1"/>
  <c r="C103" i="2"/>
  <c r="C127" i="2" s="1"/>
  <c r="C101" i="2"/>
  <c r="F8" i="19"/>
  <c r="G8" i="19"/>
  <c r="F17" i="19"/>
  <c r="G17" i="19"/>
  <c r="F18" i="19"/>
  <c r="G18" i="19"/>
  <c r="C126" i="2" l="1"/>
  <c r="C124" i="2"/>
  <c r="C31" i="2"/>
  <c r="C99" i="2" l="1"/>
  <c r="C115" i="2" s="1"/>
  <c r="J67" i="2"/>
  <c r="J92" i="2"/>
  <c r="C129" i="2" l="1"/>
  <c r="C134" i="2" s="1"/>
  <c r="G82" i="18"/>
  <c r="F82" i="18"/>
  <c r="G63" i="18"/>
  <c r="F63" i="18"/>
  <c r="G40" i="18"/>
  <c r="F40" i="18"/>
  <c r="F23" i="18"/>
  <c r="G23" i="18"/>
  <c r="G140" i="2" l="1"/>
  <c r="F140" i="2"/>
  <c r="G139" i="2"/>
  <c r="F139" i="2"/>
  <c r="G116" i="2"/>
  <c r="F116" i="2"/>
  <c r="G92" i="2"/>
  <c r="F92" i="2"/>
  <c r="G72" i="2"/>
  <c r="F72" i="2"/>
  <c r="G71" i="2"/>
  <c r="F71" i="2"/>
  <c r="G70" i="2"/>
  <c r="F70" i="2"/>
  <c r="G67" i="2"/>
  <c r="F67" i="2"/>
  <c r="G51" i="2"/>
  <c r="F51" i="2"/>
  <c r="G50" i="2"/>
  <c r="F50" i="2"/>
  <c r="G45" i="2"/>
  <c r="F45" i="2"/>
  <c r="G37" i="2"/>
  <c r="F37" i="2"/>
  <c r="F25" i="19"/>
  <c r="G25" i="19"/>
  <c r="F31" i="19"/>
  <c r="G31" i="19"/>
  <c r="F37" i="19"/>
  <c r="G37" i="19"/>
  <c r="F38" i="19"/>
  <c r="G38" i="19"/>
  <c r="F39" i="19"/>
  <c r="F40" i="19"/>
  <c r="G40" i="19"/>
  <c r="N33" i="10"/>
  <c r="L33" i="10"/>
  <c r="N26" i="10"/>
  <c r="L26" i="10"/>
  <c r="N23" i="10"/>
  <c r="L23" i="10"/>
  <c r="N22" i="10"/>
  <c r="L22" i="10"/>
  <c r="N21" i="10"/>
  <c r="L21" i="10"/>
  <c r="L15" i="10"/>
  <c r="L16" i="10"/>
  <c r="L17" i="10"/>
  <c r="L18" i="10"/>
  <c r="N15" i="10"/>
  <c r="N16" i="10"/>
  <c r="N17" i="10"/>
  <c r="N18" i="10"/>
  <c r="N14" i="10"/>
  <c r="L14" i="10"/>
  <c r="N50" i="10"/>
  <c r="N53" i="10"/>
  <c r="N52" i="10"/>
  <c r="N51" i="10"/>
  <c r="L30" i="10" l="1"/>
  <c r="N30" i="10"/>
  <c r="N34" i="10" l="1"/>
  <c r="L34" i="10"/>
  <c r="L25" i="10" l="1"/>
  <c r="N25" i="10"/>
  <c r="L27" i="10"/>
  <c r="N27" i="10"/>
  <c r="N35" i="10" l="1"/>
  <c r="L35" i="10"/>
  <c r="L31" i="10"/>
  <c r="N31" i="10"/>
  <c r="N29" i="10"/>
  <c r="L29" i="10"/>
  <c r="G111" i="2"/>
  <c r="F111" i="2"/>
  <c r="F22" i="18" l="1"/>
  <c r="G22" i="18"/>
  <c r="F24" i="18"/>
  <c r="G24" i="18"/>
  <c r="F30" i="2"/>
  <c r="F26" i="2"/>
  <c r="F25" i="2"/>
  <c r="F15" i="2"/>
  <c r="G15" i="2"/>
  <c r="F16" i="2"/>
  <c r="G16" i="2"/>
  <c r="F9" i="2"/>
  <c r="E14" i="11"/>
  <c r="M51" i="10"/>
  <c r="M50" i="10"/>
  <c r="J51" i="10"/>
  <c r="K51" i="10"/>
  <c r="K52" i="10"/>
  <c r="K53" i="10"/>
  <c r="K50" i="10"/>
  <c r="J50" i="10"/>
  <c r="O51" i="10"/>
  <c r="L50" i="10"/>
  <c r="E130" i="2"/>
  <c r="E87" i="2"/>
  <c r="E127" i="2" s="1"/>
  <c r="J31" i="2"/>
  <c r="E126" i="2"/>
  <c r="E125" i="2"/>
  <c r="E124" i="2"/>
  <c r="J87" i="2" l="1"/>
  <c r="E99" i="2"/>
  <c r="E115" i="2" s="1"/>
  <c r="J11" i="2"/>
  <c r="E142" i="2"/>
  <c r="E143" i="2" s="1"/>
  <c r="E16" i="11"/>
  <c r="E17" i="11"/>
  <c r="G49" i="18"/>
  <c r="F49" i="18"/>
  <c r="G124" i="2"/>
  <c r="F124" i="2"/>
  <c r="G87" i="2"/>
  <c r="F87" i="2"/>
  <c r="F27" i="18"/>
  <c r="O50" i="10"/>
  <c r="L51" i="10"/>
  <c r="E123" i="2"/>
  <c r="G9" i="2"/>
  <c r="F7" i="11" l="1"/>
  <c r="D7" i="11"/>
  <c r="E9" i="18"/>
  <c r="E9" i="21"/>
  <c r="E7" i="11"/>
  <c r="D12" i="11"/>
  <c r="C9" i="21"/>
  <c r="C21" i="21" s="1"/>
  <c r="C31" i="21" s="1"/>
  <c r="G35" i="2"/>
  <c r="F35" i="2"/>
  <c r="D8" i="11" l="1"/>
  <c r="F9" i="21"/>
  <c r="E21" i="21"/>
  <c r="G9" i="21"/>
  <c r="J99" i="2"/>
  <c r="E129" i="2"/>
  <c r="E134" i="2" s="1"/>
  <c r="E8" i="11" s="1"/>
  <c r="C118" i="2"/>
  <c r="C19" i="19" s="1"/>
  <c r="C9" i="18"/>
  <c r="E29" i="21" l="1"/>
  <c r="C21" i="18"/>
  <c r="C26" i="18" s="1"/>
  <c r="C28" i="18" s="1"/>
  <c r="E118" i="2"/>
  <c r="J115" i="2"/>
  <c r="E21" i="18"/>
  <c r="E12" i="11"/>
  <c r="D10" i="11" l="1"/>
  <c r="C64" i="14" s="1"/>
  <c r="D9" i="11"/>
  <c r="C63" i="14" s="1"/>
  <c r="D11" i="11"/>
  <c r="E31" i="21"/>
  <c r="E119" i="2"/>
  <c r="E22" i="19" s="1"/>
  <c r="E11" i="11"/>
  <c r="J118" i="2"/>
  <c r="E26" i="18"/>
  <c r="E28" i="18" s="1"/>
  <c r="I84" i="18" s="1"/>
  <c r="E71" i="21" l="1"/>
  <c r="C85" i="18"/>
  <c r="E9" i="19" l="1"/>
  <c r="E23" i="19"/>
  <c r="E21" i="19" s="1"/>
  <c r="E85" i="18"/>
  <c r="E19" i="19" l="1"/>
  <c r="E41" i="19"/>
  <c r="E72" i="21"/>
  <c r="E83" i="21" s="1"/>
  <c r="G36" i="19"/>
  <c r="F36" i="19"/>
  <c r="E87" i="21" l="1"/>
  <c r="G27" i="19"/>
  <c r="F35" i="19"/>
  <c r="G35" i="19"/>
  <c r="I87" i="21" l="1"/>
  <c r="E88" i="21"/>
  <c r="F27" i="19"/>
  <c r="E10" i="11" l="1"/>
  <c r="E64" i="14" s="1"/>
  <c r="E13" i="11"/>
  <c r="E65" i="14" s="1"/>
  <c r="E9" i="11"/>
  <c r="E63" i="14" s="1"/>
  <c r="G129" i="2" l="1"/>
  <c r="G127" i="2"/>
  <c r="G126" i="2"/>
  <c r="F31" i="2"/>
  <c r="G31" i="2"/>
  <c r="F123" i="2"/>
  <c r="F138" i="2"/>
  <c r="F32" i="2"/>
  <c r="F125" i="2"/>
  <c r="F23" i="2"/>
  <c r="F22" i="2"/>
  <c r="F14" i="2"/>
  <c r="G14" i="2"/>
  <c r="F19" i="2"/>
  <c r="F20" i="2"/>
  <c r="G19" i="2"/>
  <c r="F24" i="2"/>
  <c r="F21" i="2"/>
  <c r="G105" i="2"/>
  <c r="F105" i="2"/>
  <c r="F55" i="2"/>
  <c r="G55" i="2"/>
  <c r="F69" i="2"/>
  <c r="G69" i="2"/>
  <c r="D11" i="21"/>
  <c r="F137" i="2"/>
  <c r="G13" i="2"/>
  <c r="F13" i="2"/>
  <c r="F17" i="2"/>
  <c r="G17" i="2"/>
  <c r="D9" i="18"/>
  <c r="F9" i="18" s="1"/>
  <c r="F46" i="2"/>
  <c r="G11" i="2"/>
  <c r="F11" i="2"/>
  <c r="G68" i="2"/>
  <c r="F68" i="2"/>
  <c r="F73" i="2"/>
  <c r="G73" i="2"/>
  <c r="G18" i="2"/>
  <c r="F18" i="2"/>
  <c r="F115" i="2"/>
  <c r="G115" i="2"/>
  <c r="G12" i="2"/>
  <c r="F99" i="2"/>
  <c r="G99" i="2"/>
  <c r="G118" i="2"/>
  <c r="F118" i="2"/>
  <c r="F12" i="2"/>
  <c r="F11" i="21" l="1"/>
  <c r="G11" i="21"/>
  <c r="D21" i="21"/>
  <c r="D9" i="19"/>
  <c r="D19" i="19" s="1"/>
  <c r="D22" i="19"/>
  <c r="D71" i="21" s="1"/>
  <c r="F130" i="2"/>
  <c r="G137" i="2"/>
  <c r="G10" i="19"/>
  <c r="F10" i="19"/>
  <c r="G138" i="2"/>
  <c r="F127" i="2"/>
  <c r="F129" i="2"/>
  <c r="G9" i="18"/>
  <c r="G15" i="18"/>
  <c r="F15" i="18"/>
  <c r="G141" i="2"/>
  <c r="F141" i="2"/>
  <c r="D11" i="18"/>
  <c r="G125" i="2"/>
  <c r="G123" i="2"/>
  <c r="F126" i="2"/>
  <c r="G71" i="21" l="1"/>
  <c r="F71" i="21"/>
  <c r="D29" i="21"/>
  <c r="F21" i="21"/>
  <c r="G21" i="21"/>
  <c r="F136" i="2"/>
  <c r="G11" i="19"/>
  <c r="F19" i="19"/>
  <c r="D68" i="18"/>
  <c r="F22" i="19"/>
  <c r="G22" i="19"/>
  <c r="F11" i="19"/>
  <c r="D23" i="19"/>
  <c r="G130" i="2"/>
  <c r="D134" i="2"/>
  <c r="G134" i="2" s="1"/>
  <c r="F9" i="19"/>
  <c r="G136" i="2"/>
  <c r="G9" i="19"/>
  <c r="F11" i="18"/>
  <c r="D21" i="18"/>
  <c r="G11" i="18"/>
  <c r="D21" i="19" l="1"/>
  <c r="D41" i="19" s="1"/>
  <c r="D72" i="21"/>
  <c r="D31" i="21"/>
  <c r="F29" i="21"/>
  <c r="G29" i="21"/>
  <c r="F142" i="2"/>
  <c r="G142" i="2"/>
  <c r="D69" i="18"/>
  <c r="D80" i="18" s="1"/>
  <c r="F23" i="19"/>
  <c r="G23" i="19"/>
  <c r="G68" i="18"/>
  <c r="F68" i="18"/>
  <c r="G19" i="19"/>
  <c r="F134" i="2"/>
  <c r="F21" i="18"/>
  <c r="D26" i="18"/>
  <c r="G21" i="18"/>
  <c r="D83" i="21" l="1"/>
  <c r="F31" i="21"/>
  <c r="G31" i="21"/>
  <c r="F143" i="2"/>
  <c r="G143" i="2"/>
  <c r="F21" i="19"/>
  <c r="G21" i="19"/>
  <c r="G26" i="18"/>
  <c r="F26" i="18"/>
  <c r="D28" i="18"/>
  <c r="D87" i="21" l="1"/>
  <c r="D88" i="21"/>
  <c r="G87" i="21"/>
  <c r="F87" i="21"/>
  <c r="F41" i="19"/>
  <c r="G41" i="19"/>
  <c r="G28" i="18"/>
  <c r="D84" i="18"/>
  <c r="F28" i="18"/>
  <c r="F88" i="21" l="1"/>
  <c r="G88" i="21"/>
  <c r="F84" i="18"/>
  <c r="G84" i="18"/>
  <c r="D85" i="18"/>
  <c r="F85" i="18" l="1"/>
  <c r="G85" i="18"/>
  <c r="I53" i="10" l="1"/>
  <c r="L53" i="10" s="1"/>
  <c r="J53" i="10"/>
  <c r="G52" i="10"/>
  <c r="M53" i="10"/>
  <c r="J52" i="10" l="1"/>
  <c r="I52" i="10"/>
  <c r="J54" i="10"/>
  <c r="O53" i="10"/>
  <c r="G54" i="10"/>
  <c r="M54" i="10" s="1"/>
  <c r="M52" i="10"/>
  <c r="O52" i="10" l="1"/>
  <c r="L52" i="10"/>
  <c r="K57" i="9"/>
  <c r="V31" i="9"/>
  <c r="M31" i="9"/>
  <c r="U31" i="9" s="1"/>
  <c r="U57" i="9" s="1"/>
  <c r="M57" i="9" l="1"/>
  <c r="S5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7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 балансу заполняется</t>
        </r>
      </text>
    </comment>
  </commentList>
</comments>
</file>

<file path=xl/sharedStrings.xml><?xml version="1.0" encoding="utf-8"?>
<sst xmlns="http://schemas.openxmlformats.org/spreadsheetml/2006/main" count="868" uniqueCount="594">
  <si>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</si>
  <si>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</si>
  <si>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</si>
  <si>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</si>
  <si>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</si>
  <si>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</si>
  <si>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</si>
  <si>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</si>
  <si>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</si>
  <si>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</si>
  <si>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</si>
  <si>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</si>
  <si>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</si>
  <si>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</si>
  <si>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</si>
  <si>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</si>
  <si>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</si>
  <si>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</si>
  <si>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</si>
  <si>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</si>
  <si>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</si>
  <si>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</si>
  <si>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</si>
  <si>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</si>
  <si>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</si>
  <si>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</si>
  <si>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</si>
  <si>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</si>
  <si>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</si>
  <si>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</si>
  <si>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</si>
  <si>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</si>
  <si>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</si>
  <si>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</si>
  <si>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</si>
  <si>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</si>
  <si>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</si>
  <si>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</si>
  <si>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</si>
  <si>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</si>
  <si>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</si>
  <si>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</si>
  <si>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</si>
  <si>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</si>
  <si>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</si>
  <si>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</si>
  <si>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</si>
  <si>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</si>
  <si>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</si>
  <si>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</si>
  <si>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</si>
  <si>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</si>
  <si>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</si>
  <si>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</si>
  <si>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</si>
  <si>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</si>
  <si>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</si>
  <si>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</si>
  <si>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</si>
  <si>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</si>
  <si>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</si>
  <si>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</si>
  <si>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</si>
  <si>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</si>
  <si>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</si>
  <si>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</si>
  <si>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</si>
  <si>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</si>
  <si>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</si>
  <si>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</si>
  <si>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</si>
  <si>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</si>
  <si>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</si>
  <si>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</si>
  <si>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</si>
  <si>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</si>
  <si>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</si>
  <si>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</si>
  <si>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</si>
  <si>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</si>
  <si>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</si>
  <si>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</si>
  <si>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</si>
  <si>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</si>
  <si>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</si>
  <si>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</si>
  <si>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</si>
  <si>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</si>
  <si>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</si>
  <si>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</si>
  <si>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</si>
  <si>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</si>
  <si>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</si>
  <si>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</si>
  <si>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</si>
  <si>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</si>
  <si>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</si>
  <si>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</si>
  <si>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</si>
  <si>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</si>
  <si>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</si>
  <si>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</si>
  <si>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</si>
  <si>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</si>
  <si>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</si>
  <si>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</si>
  <si>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</si>
  <si>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</si>
  <si>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</si>
  <si>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</si>
  <si>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</si>
  <si>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</si>
  <si>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</si>
  <si>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</si>
  <si>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</si>
  <si>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</si>
  <si>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</si>
  <si>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</si>
  <si>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</si>
  <si>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</si>
  <si>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</si>
  <si>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</si>
  <si>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</si>
  <si>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</si>
  <si>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</si>
  <si>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</si>
  <si>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</si>
  <si>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</si>
  <si>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</si>
  <si>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</si>
  <si>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</si>
  <si>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</si>
  <si>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</si>
  <si>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</si>
  <si>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</si>
  <si>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</si>
  <si>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</si>
  <si>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</si>
  <si>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</si>
  <si>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</si>
  <si>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</si>
  <si>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</si>
  <si>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</si>
  <si>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</si>
  <si>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</si>
  <si>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</si>
  <si>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</si>
  <si>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</si>
  <si>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</si>
  <si>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</si>
  <si>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</si>
  <si>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</si>
  <si>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</si>
  <si>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</si>
  <si>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</si>
  <si>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</si>
  <si>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</si>
  <si>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</si>
  <si>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</si>
  <si>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</si>
  <si>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</si>
  <si>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</si>
  <si>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</si>
  <si>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</si>
  <si>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</si>
  <si>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</si>
  <si>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</si>
  <si>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</si>
  <si>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</si>
  <si>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</si>
  <si>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</si>
  <si>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</si>
  <si>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</si>
  <si>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</si>
  <si>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</si>
  <si>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</si>
  <si>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</si>
  <si>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</si>
  <si>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</si>
  <si>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</si>
  <si>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</si>
  <si>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</si>
  <si>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</si>
  <si>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</si>
  <si>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</si>
  <si>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</si>
  <si>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</si>
  <si>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</si>
  <si>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</si>
  <si>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</si>
  <si>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</si>
  <si>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</si>
  <si>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</si>
  <si>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</si>
  <si>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</si>
  <si>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</si>
  <si>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</si>
  <si>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</si>
  <si>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</si>
  <si>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</si>
  <si>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</si>
  <si>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</si>
  <si>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</si>
  <si>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</si>
  <si>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</si>
  <si>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</si>
  <si>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</si>
  <si>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</si>
  <si>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</si>
  <si>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</si>
  <si>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</si>
  <si>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</si>
  <si>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</si>
  <si>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</si>
  <si>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</si>
  <si>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</si>
  <si>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</si>
  <si>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</si>
  <si>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</si>
  <si>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</si>
  <si>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</si>
  <si>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</si>
  <si>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</si>
  <si>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</si>
  <si>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</si>
  <si>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</si>
  <si>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</si>
  <si>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</si>
  <si>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</si>
  <si>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</si>
  <si>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</si>
  <si>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</si>
  <si>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</si>
  <si>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</si>
  <si>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</si>
  <si>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</si>
  <si>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</si>
  <si>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</si>
  <si>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</si>
  <si>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</si>
  <si>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</si>
  <si>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</si>
  <si>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</si>
  <si>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</si>
  <si>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</si>
  <si>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</si>
  <si>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</si>
  <si>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</si>
  <si>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</si>
  <si>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</si>
  <si>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</si>
  <si>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</si>
  <si>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</si>
  <si>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</si>
  <si>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</si>
  <si>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</si>
  <si>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</si>
  <si>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</si>
  <si>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</si>
  <si>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</si>
  <si>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</si>
  <si>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</si>
  <si>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</si>
  <si>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</si>
  <si>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</si>
  <si>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</si>
  <si>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</si>
  <si>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</si>
  <si>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</si>
  <si>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</si>
  <si>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</si>
  <si>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</si>
  <si>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</si>
  <si>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</si>
  <si>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</si>
  <si>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</si>
  <si>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</si>
  <si>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</si>
  <si>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</si>
  <si>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</si>
  <si>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</si>
  <si>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</si>
  <si>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</si>
  <si>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</si>
  <si>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</si>
  <si>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</si>
  <si>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</si>
  <si>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</si>
  <si>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</si>
  <si>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</si>
  <si>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</si>
  <si>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</si>
  <si>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</si>
  <si>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</si>
  <si>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</si>
  <si>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</si>
  <si>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</si>
  <si>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</si>
  <si>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</si>
  <si>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</si>
  <si>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</si>
  <si>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</si>
  <si>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</si>
  <si>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</si>
  <si>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</si>
  <si>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</si>
  <si>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</si>
  <si>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</si>
  <si>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</si>
  <si>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</si>
  <si>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</si>
  <si>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</si>
  <si>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</si>
  <si>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</si>
  <si>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</si>
  <si>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</si>
  <si>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</si>
  <si>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</si>
  <si>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</si>
  <si>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</si>
  <si>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</si>
  <si>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</si>
  <si>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</si>
  <si>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</si>
  <si>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</si>
  <si>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</si>
  <si>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</si>
  <si>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</si>
  <si>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</si>
  <si>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</si>
  <si>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</si>
  <si>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</si>
  <si>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</si>
  <si>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</si>
  <si>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</si>
  <si>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</si>
  <si>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</si>
  <si>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</si>
  <si>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</si>
  <si>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</si>
  <si>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</si>
  <si>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</si>
  <si>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</si>
  <si>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</si>
  <si>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</si>
  <si>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</si>
  <si>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</si>
  <si>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</si>
  <si>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</si>
  <si>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</si>
  <si>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</si>
  <si>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</si>
  <si>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</si>
  <si>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Фонд оплати праці, тис. гривень,  у тому числі: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</si>
  <si>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</si>
  <si>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</si>
  <si>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</si>
  <si>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</si>
  <si>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</si>
  <si>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</si>
  <si>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</si>
  <si>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</si>
  <si>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</si>
  <si>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</si>
  <si>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</si>
  <si>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</si>
  <si>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</si>
  <si>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</si>
  <si>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</si>
  <si>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</si>
  <si>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</si>
  <si>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</si>
  <si>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</si>
  <si>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</si>
  <si>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 xml:space="preserve">Комунальне підприємство </t>
  </si>
  <si>
    <t>м.Дніпро</t>
  </si>
  <si>
    <t>міські районні у містах ради та їх виконавчі комітети</t>
  </si>
  <si>
    <t>організування поховань і надання суміжних послуг</t>
  </si>
  <si>
    <t xml:space="preserve">послуги підприємств, що займаються невиробничими видами побут. обслугов.населення </t>
  </si>
  <si>
    <t>Одиниця виміру, тис. гривень без десяткових знаков</t>
  </si>
  <si>
    <t>комунальна</t>
  </si>
  <si>
    <t>пр.О Поля 18 прим.119 м.Дніпро</t>
  </si>
  <si>
    <t>Сіровська В.М.</t>
  </si>
  <si>
    <t>96.03</t>
  </si>
  <si>
    <t>1018/1</t>
  </si>
  <si>
    <t>1018/2</t>
  </si>
  <si>
    <t>1018/3</t>
  </si>
  <si>
    <t>1018/4</t>
  </si>
  <si>
    <t>1018/5</t>
  </si>
  <si>
    <t>1018/6</t>
  </si>
  <si>
    <t>оренда приміщення</t>
  </si>
  <si>
    <t>запчастини</t>
  </si>
  <si>
    <t>резерв відпусток</t>
  </si>
  <si>
    <t>1018/7</t>
  </si>
  <si>
    <t>витрати на придбання ритуальної атрибутики</t>
  </si>
  <si>
    <t>1018/8</t>
  </si>
  <si>
    <t>1062/1</t>
  </si>
  <si>
    <t>1062/2</t>
  </si>
  <si>
    <t>касове обслуговування</t>
  </si>
  <si>
    <t>1062/3</t>
  </si>
  <si>
    <t>канцтовари, електротовари</t>
  </si>
  <si>
    <t>1062/4</t>
  </si>
  <si>
    <t>охорона приміщення</t>
  </si>
  <si>
    <t>1062/5</t>
  </si>
  <si>
    <t>1062/6</t>
  </si>
  <si>
    <t>передплата за періодичні видання</t>
  </si>
  <si>
    <t>1062/7</t>
  </si>
  <si>
    <t>1076/1</t>
  </si>
  <si>
    <t>1076/2</t>
  </si>
  <si>
    <t>оренда</t>
  </si>
  <si>
    <t>1076/3</t>
  </si>
  <si>
    <t>1076/4</t>
  </si>
  <si>
    <t>1076/5</t>
  </si>
  <si>
    <t>експлуатаційні витрати, в тому числі</t>
  </si>
  <si>
    <t>1076/6</t>
  </si>
  <si>
    <t>послуги зв"язку</t>
  </si>
  <si>
    <t>1076/6/1</t>
  </si>
  <si>
    <t>1076/6/2</t>
  </si>
  <si>
    <t>1076/6/3</t>
  </si>
  <si>
    <t>1076/6/4</t>
  </si>
  <si>
    <t>водопостачання, дератизація</t>
  </si>
  <si>
    <t>1076/6/5</t>
  </si>
  <si>
    <t>виплати по лікарн.листках, мат допомога</t>
  </si>
  <si>
    <t>1085/1</t>
  </si>
  <si>
    <t>1085/2</t>
  </si>
  <si>
    <t>1085/3</t>
  </si>
  <si>
    <t>1085/4</t>
  </si>
  <si>
    <t>штрафи, пені</t>
  </si>
  <si>
    <t>1085/5</t>
  </si>
  <si>
    <t>1085/6</t>
  </si>
  <si>
    <t>1120/1</t>
  </si>
  <si>
    <t>1150/1</t>
  </si>
  <si>
    <t>1160/1</t>
  </si>
  <si>
    <t>1160/2</t>
  </si>
  <si>
    <t>Профвнески</t>
  </si>
  <si>
    <t>податок на землю</t>
  </si>
  <si>
    <t>2416/1</t>
  </si>
  <si>
    <t>2147/1</t>
  </si>
  <si>
    <t>військовий збір</t>
  </si>
  <si>
    <t>3030/1</t>
  </si>
  <si>
    <t>3030/2</t>
  </si>
  <si>
    <t>3030/3</t>
  </si>
  <si>
    <t>коригування на динаміку запасів, незавершеного виробництва, товарів, дебіторської заборгованості, витрати майбутніх періодів, інш обор активів</t>
  </si>
  <si>
    <t>3050/1</t>
  </si>
  <si>
    <t>коригування на динаміку поточної кредиторської заборгованості, доходів майбутніх періодів, інших поточних зобов'язань</t>
  </si>
  <si>
    <t>3060/1</t>
  </si>
  <si>
    <t xml:space="preserve">придбання (виготовлення) інших необоротних матеріальних активів </t>
  </si>
  <si>
    <t>3310/1</t>
  </si>
  <si>
    <t>3480/1</t>
  </si>
  <si>
    <t>Послуги з утримання міських кладовищ</t>
  </si>
  <si>
    <t>Послуги щодо поховання одиноких, безрідних громадян , осіб</t>
  </si>
  <si>
    <t>1030/1</t>
  </si>
  <si>
    <t>Розрахунки по нерухомості</t>
  </si>
  <si>
    <t>2147/2</t>
  </si>
  <si>
    <t>1150/2</t>
  </si>
  <si>
    <t>Сума доходу в частин ПДВ (за рахунок цільового фінансування)</t>
  </si>
  <si>
    <t>2060/1</t>
  </si>
  <si>
    <t>У звязку з ліквідацією підприємства, відсутністю договорів на утримання кладовищ та поховання безрідних</t>
  </si>
  <si>
    <t>1062/8</t>
  </si>
  <si>
    <t>3470/1</t>
  </si>
  <si>
    <t>Придбання мікроавтобуса для подальшого використання підприємством в якості ритуального транспорту</t>
  </si>
  <si>
    <t>3270/1</t>
  </si>
  <si>
    <t>1150/3</t>
  </si>
  <si>
    <t>+</t>
  </si>
  <si>
    <t>Фінансові витрати (проценти банку)</t>
  </si>
  <si>
    <t>Амортизація від безоплатно отриманих ОЗ</t>
  </si>
  <si>
    <t>Комунальне підприємство "Міьска ритуальна служба" Дніпровської міської ради</t>
  </si>
  <si>
    <r>
      <t xml:space="preserve">Орган державного управління  </t>
    </r>
    <r>
      <rPr>
        <b/>
        <i/>
        <sz val="12"/>
        <rFont val="Times New Roman"/>
        <family val="1"/>
        <charset val="204"/>
      </rPr>
      <t xml:space="preserve"> </t>
    </r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</si>
  <si>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</si>
  <si>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>Організація поховань і  надання суміжних послуг</t>
  </si>
  <si>
    <t>1000/1</t>
  </si>
  <si>
    <t>заходи з охорони праці татехніки безпеки</t>
  </si>
  <si>
    <t>інформаційно-технічне обслуговування</t>
  </si>
  <si>
    <t>прямі виробничі послуги на страхування</t>
  </si>
  <si>
    <t>Дохід від амортизації</t>
  </si>
  <si>
    <t>внесок 15% чистого прибутку до загального  фонду міського 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</si>
  <si>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</si>
  <si>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1062/9</t>
  </si>
  <si>
    <t>добровiльне фiнансування заходiв з благоустрою кладовищ</t>
  </si>
  <si>
    <t>1150/4</t>
  </si>
  <si>
    <t>відсотки отримані по рахунку</t>
  </si>
  <si>
    <t>Витрати на оплату праці, тис. гривень, у тому числі:</t>
  </si>
  <si>
    <t>КП "Міська ритуальна служба"</t>
  </si>
  <si>
    <t>надходження до дадаткового капіталу право використання земельною ділянкою</t>
  </si>
  <si>
    <t>3010/1</t>
  </si>
  <si>
    <t>забезпечення резерва відпустки</t>
  </si>
  <si>
    <t>Чистий рух коштів від фінансової діяльності </t>
  </si>
  <si>
    <t>Грошові кошти</t>
  </si>
  <si>
    <t>придбання послуг стороних організацій по утриманню кладовищ: вивіз/утилізація сміття, біотуалети, вода</t>
  </si>
  <si>
    <t>3280/1</t>
  </si>
  <si>
    <t xml:space="preserve">Капітальне будівництво (розшифровка об'єктів табл.9 Капітальне будівництво) </t>
  </si>
  <si>
    <t>3480/2</t>
  </si>
  <si>
    <t>надходження до дадаткового капіталу амортизація від безоплатно отриманих основних фондів</t>
  </si>
  <si>
    <t>3030/5</t>
  </si>
  <si>
    <t>введення в експлуатацію основні засоби</t>
  </si>
  <si>
    <t>прийняття до обліку право постійного користування земельною ділянкою</t>
  </si>
  <si>
    <t>введення в експлуатацію незавершені капітальні інвестиції</t>
  </si>
  <si>
    <t>Придбання основних фондів (створення) (розшифровка а табл.4)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</si>
  <si>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</t>
  </si>
  <si>
    <t>ЄСВ на лікарняні</t>
  </si>
  <si>
    <t>3270/2</t>
  </si>
  <si>
    <t>внески до статутного фонду  на заробітну плату, придбання матеріалів, та інш.</t>
  </si>
  <si>
    <t>Усього на рік</t>
  </si>
  <si>
    <t>у тому числі за кварталами</t>
  </si>
  <si>
    <t>І квартал</t>
  </si>
  <si>
    <t>півріччя</t>
  </si>
  <si>
    <t>9 місяців</t>
  </si>
  <si>
    <t>рік</t>
  </si>
  <si>
    <t xml:space="preserve">Найменування об’єктів </t>
  </si>
  <si>
    <t>Рік початку                і закінчення будівництва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</si>
  <si>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</si>
  <si>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</si>
  <si>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</si>
  <si>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інші джерела (кошти міського бюджету)</t>
  </si>
  <si>
    <t>1018/9</t>
  </si>
  <si>
    <t>1018/10</t>
  </si>
  <si>
    <t>реєстрація, переєдстрація автомобілів</t>
  </si>
  <si>
    <t>ТО та реомнт оргатехніки та інш</t>
  </si>
  <si>
    <t>3030/4</t>
  </si>
  <si>
    <t>Ритуальні послуги</t>
  </si>
  <si>
    <t>В.о.директора</t>
  </si>
  <si>
    <t>Руслан ДАНИЛКІН</t>
  </si>
  <si>
    <r>
      <t xml:space="preserve">Керівник 
</t>
    </r>
    <r>
      <rPr>
        <sz val="12"/>
        <rFont val="Times New Roman"/>
        <family val="1"/>
        <charset val="204"/>
      </rPr>
      <t>В.о.директора КП "Міська ритуальна служба"</t>
    </r>
  </si>
  <si>
    <r>
      <t xml:space="preserve">Керівник 
</t>
    </r>
    <r>
      <rPr>
        <sz val="12"/>
        <rFont val="Times New Roman"/>
        <family val="1"/>
        <charset val="204"/>
      </rPr>
      <t xml:space="preserve"> В.о.директора КП "Міська ритуальна служба"</t>
    </r>
  </si>
  <si>
    <t>сервісне обслуговування, ремонт оргтехніки, кліматичної техніки, та інш.</t>
  </si>
  <si>
    <t>списання простроченої кредиторської заборгованості</t>
  </si>
  <si>
    <t>Баланс</t>
  </si>
  <si>
    <t>1520+1660</t>
  </si>
  <si>
    <t xml:space="preserve"> -(1195-1165)</t>
  </si>
  <si>
    <t>1695-1660</t>
  </si>
  <si>
    <t>1400+1401</t>
  </si>
  <si>
    <t>Лічильник води 820 Q3 2,5 DN 15 R160</t>
  </si>
  <si>
    <t>експлуатаційні витрати</t>
  </si>
  <si>
    <t>сч.90 ( сч.23+сч.28+сч.631)</t>
  </si>
  <si>
    <t>1018/11</t>
  </si>
  <si>
    <t>копання могил</t>
  </si>
  <si>
    <t>Витрати на врегулювання спорів у судах</t>
  </si>
  <si>
    <t>канцтовари</t>
  </si>
  <si>
    <t>1076/6/6</t>
  </si>
  <si>
    <t>Поховання згідно колдоговору</t>
  </si>
  <si>
    <t>Фінансування на заробітну плату</t>
  </si>
  <si>
    <t>Причеп тракторний 2ПТС-4 (з.№ 053264)</t>
  </si>
  <si>
    <t>Куртка спецодяг</t>
  </si>
  <si>
    <t>Оргтехніка</t>
  </si>
  <si>
    <t xml:space="preserve">Кліматична техніка
</t>
  </si>
  <si>
    <t>офісни меблі</t>
  </si>
  <si>
    <t>строка 1595 баланс</t>
  </si>
  <si>
    <t>запаси</t>
  </si>
  <si>
    <t>інші оборотні активи</t>
  </si>
  <si>
    <t>поточня дебіторська заборгованість</t>
  </si>
  <si>
    <t>в 3030/.. Переносится строка 2060 со знаком "-"  с роз. з бюдж. Если 15% -18, 60%-63</t>
  </si>
  <si>
    <t>забезпечення резерва відпустки, фінансування на з/пл</t>
  </si>
  <si>
    <t>відхи-лення,  +/–</t>
  </si>
  <si>
    <t>вико-нання, %</t>
  </si>
  <si>
    <t>Вантажний автомобіль, боротовий тентований, загальною масою до 3,5тн, дизельний двигун (перевезення безрідних)</t>
  </si>
  <si>
    <t>Компрессоры</t>
  </si>
  <si>
    <t>Автомойка</t>
  </si>
  <si>
    <t>Косилки</t>
  </si>
  <si>
    <t>Бензопила</t>
  </si>
  <si>
    <t>Высоторез</t>
  </si>
  <si>
    <t>Лестницы</t>
  </si>
  <si>
    <t xml:space="preserve">Ноутбук </t>
  </si>
  <si>
    <t>МФУ(сканер принтер)</t>
  </si>
  <si>
    <t>Туалет</t>
  </si>
  <si>
    <t>Цільове фінансування на виплату заробітної плати, придбання ритуальної атрибутики</t>
  </si>
  <si>
    <t>комунальні витрати, податок на землю</t>
  </si>
  <si>
    <t>ТО РРО</t>
  </si>
  <si>
    <t>1076/6/7</t>
  </si>
  <si>
    <t>Податок на землю</t>
  </si>
  <si>
    <t>інші витрати (відшкодув.витрат)</t>
  </si>
  <si>
    <t>Ритуальна атриб.для  поховання військових</t>
  </si>
  <si>
    <t xml:space="preserve">надходження до дадаткового капіталу </t>
  </si>
  <si>
    <t>улаштування майданчика</t>
  </si>
  <si>
    <t xml:space="preserve">Модульна споруда </t>
  </si>
  <si>
    <t>РРО</t>
  </si>
  <si>
    <t>паркувальні півсфери</t>
  </si>
  <si>
    <t>відеоспостереження</t>
  </si>
  <si>
    <t>огорожа</t>
  </si>
  <si>
    <t>Реалізація ритуальної атрибутики</t>
  </si>
  <si>
    <t>за   2022 рік</t>
  </si>
  <si>
    <t>Рік 2022</t>
  </si>
  <si>
    <t>Таблиця VI. Інформація до фінансового плану  за   2022 рік</t>
  </si>
  <si>
    <t>3480/3</t>
  </si>
  <si>
    <t>генератор</t>
  </si>
  <si>
    <t>штори, ролети</t>
  </si>
  <si>
    <t>лавка залізобетонна</t>
  </si>
  <si>
    <t>водопровод</t>
  </si>
  <si>
    <t>это как витрати??? Нужно их указать в строке 3570 (я думаю не правильно, что в надходженнях знак "-") или 259 не расшифровывать</t>
  </si>
  <si>
    <t>исправлено</t>
  </si>
  <si>
    <t>3050/2</t>
  </si>
  <si>
    <t>3050/3</t>
  </si>
  <si>
    <t>3570/1</t>
  </si>
  <si>
    <t>зменьшення додаткового капіталу на суму амортизації безоплатного отриманих осносвних засобів</t>
  </si>
  <si>
    <t>Податок на додану вартість нарахований/до відшкодування  (з мінусом)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</si>
</sst>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-* #,##0_₴_-;\-* #,##0_₴_-;_-* &quot;-&quot;??_₴_-;_-@_-"/>
    <numFmt numFmtId="178" formatCode="0.0%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6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5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71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4" fontId="41" fillId="28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2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5" borderId="9" applyNumberFormat="0" applyFont="0" applyAlignment="0" applyProtection="0"/>
    <xf numFmtId="0" fontId="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6" fontId="59" fillId="22" borderId="12" applyFill="0" applyBorder="0">
      <alignment horizontal="center" vertical="center" wrapText="1"/>
      <protection locked="0"/>
    </xf>
    <xf numFmtId="171" fontId="60" fillId="0" borderId="0">
      <alignment wrapText="1"/>
    </xf>
    <xf numFmtId="171" fontId="27" fillId="0" borderId="0">
      <alignment wrapText="1"/>
    </xf>
    <xf numFmtId="0" fontId="4" fillId="0" borderId="0"/>
    <xf numFmtId="9" fontId="2" fillId="0" borderId="0" applyFont="0" applyFill="0" applyBorder="0" applyAlignment="0" applyProtection="0"/>
  </cellStyleXfs>
  <cellXfs count="394">
    <xf numFmtId="0" fontId="0" fillId="0" borderId="0" xfId="0"/>
    <xf numFmtId="0" fontId="61" fillId="0" borderId="3" xfId="245" applyFont="1" applyBorder="1" applyAlignment="1">
      <alignment horizontal="left" vertical="top" wrapText="1"/>
    </xf>
    <xf numFmtId="0" fontId="61" fillId="0" borderId="3" xfId="0" applyFont="1" applyBorder="1" applyAlignment="1">
      <alignment horizontal="left" vertical="top" wrapText="1"/>
    </xf>
    <xf numFmtId="0" fontId="61" fillId="0" borderId="0" xfId="0" applyFont="1" applyAlignment="1" applyProtection="1">
      <alignment vertical="top"/>
      <protection locked="0"/>
    </xf>
    <xf numFmtId="0" fontId="61" fillId="0" borderId="0" xfId="0" applyFont="1" applyAlignment="1" applyProtection="1">
      <alignment horizontal="right" vertical="top"/>
      <protection locked="0"/>
    </xf>
    <xf numFmtId="0" fontId="61" fillId="0" borderId="0" xfId="0" applyFont="1" applyAlignment="1" applyProtection="1">
      <alignment horizontal="center" vertical="top"/>
      <protection locked="0"/>
    </xf>
    <xf numFmtId="0" fontId="63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4" fillId="0" borderId="0" xfId="0" applyFont="1" applyAlignment="1" applyProtection="1">
      <alignment vertical="top"/>
      <protection locked="0"/>
    </xf>
    <xf numFmtId="0" fontId="61" fillId="0" borderId="0" xfId="0" applyFont="1" applyAlignment="1" applyProtection="1">
      <alignment vertical="top" wrapText="1"/>
      <protection locked="0"/>
    </xf>
    <xf numFmtId="0" fontId="61" fillId="0" borderId="14" xfId="0" applyFont="1" applyBorder="1" applyAlignment="1" applyProtection="1">
      <alignment vertical="top"/>
      <protection locked="0"/>
    </xf>
    <xf numFmtId="0" fontId="61" fillId="0" borderId="3" xfId="0" applyFont="1" applyBorder="1" applyAlignment="1" applyProtection="1">
      <alignment horizontal="left" vertical="top"/>
      <protection locked="0"/>
    </xf>
    <xf numFmtId="0" fontId="61" fillId="0" borderId="3" xfId="0" applyFont="1" applyBorder="1" applyAlignment="1" applyProtection="1">
      <alignment horizontal="center" vertical="top"/>
      <protection locked="0"/>
    </xf>
    <xf numFmtId="0" fontId="61" fillId="0" borderId="14" xfId="0" applyFont="1" applyBorder="1" applyAlignment="1" applyProtection="1">
      <alignment vertical="top" wrapText="1"/>
      <protection locked="0"/>
    </xf>
    <xf numFmtId="0" fontId="61" fillId="0" borderId="3" xfId="0" applyFont="1" applyBorder="1" applyAlignment="1" applyProtection="1">
      <alignment vertical="top"/>
      <protection locked="0"/>
    </xf>
    <xf numFmtId="0" fontId="61" fillId="0" borderId="3" xfId="0" applyFont="1" applyBorder="1" applyAlignment="1" applyProtection="1">
      <alignment vertical="top" wrapText="1"/>
      <protection locked="0"/>
    </xf>
    <xf numFmtId="0" fontId="61" fillId="0" borderId="18" xfId="0" applyFont="1" applyBorder="1" applyAlignment="1" applyProtection="1">
      <alignment vertical="top" wrapText="1"/>
      <protection locked="0"/>
    </xf>
    <xf numFmtId="0" fontId="61" fillId="0" borderId="18" xfId="0" applyFont="1" applyBorder="1" applyAlignment="1" applyProtection="1">
      <alignment vertical="top"/>
      <protection locked="0"/>
    </xf>
    <xf numFmtId="0" fontId="61" fillId="0" borderId="0" xfId="0" applyFont="1" applyAlignment="1" applyProtection="1">
      <alignment horizontal="left" vertical="top"/>
      <protection locked="0"/>
    </xf>
    <xf numFmtId="0" fontId="66" fillId="0" borderId="0" xfId="0" applyFont="1" applyAlignment="1">
      <alignment horizontal="center" vertical="top"/>
    </xf>
    <xf numFmtId="0" fontId="61" fillId="0" borderId="0" xfId="0" applyFont="1" applyAlignment="1">
      <alignment horizontal="left" vertical="top"/>
    </xf>
    <xf numFmtId="0" fontId="61" fillId="0" borderId="1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/>
    </xf>
    <xf numFmtId="0" fontId="61" fillId="0" borderId="3" xfId="0" applyFont="1" applyBorder="1" applyAlignment="1">
      <alignment horizontal="center" vertical="top" wrapText="1"/>
    </xf>
    <xf numFmtId="0" fontId="61" fillId="0" borderId="3" xfId="182" applyFont="1" applyFill="1" applyBorder="1" applyAlignment="1">
      <alignment horizontal="left" vertical="top" wrapText="1"/>
      <protection locked="0"/>
    </xf>
    <xf numFmtId="3" fontId="61" fillId="0" borderId="3" xfId="0" applyNumberFormat="1" applyFont="1" applyBorder="1" applyAlignment="1">
      <alignment horizontal="center" vertical="top" wrapText="1"/>
    </xf>
    <xf numFmtId="170" fontId="61" fillId="0" borderId="3" xfId="0" applyNumberFormat="1" applyFont="1" applyBorder="1" applyAlignment="1">
      <alignment horizontal="center" vertical="top" wrapText="1"/>
    </xf>
    <xf numFmtId="0" fontId="66" fillId="0" borderId="3" xfId="182" applyFont="1" applyFill="1" applyBorder="1" applyAlignment="1">
      <alignment horizontal="left" vertical="top" wrapText="1"/>
      <protection locked="0"/>
    </xf>
    <xf numFmtId="170" fontId="68" fillId="0" borderId="3" xfId="0" applyNumberFormat="1" applyFont="1" applyBorder="1" applyAlignment="1">
      <alignment horizontal="center" vertical="top" wrapText="1"/>
    </xf>
    <xf numFmtId="0" fontId="66" fillId="0" borderId="3" xfId="0" applyFont="1" applyBorder="1" applyAlignment="1">
      <alignment horizontal="left" vertical="top" wrapText="1"/>
    </xf>
    <xf numFmtId="0" fontId="66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vertical="top"/>
    </xf>
    <xf numFmtId="0" fontId="61" fillId="0" borderId="0" xfId="0" applyFont="1" applyAlignment="1" applyProtection="1">
      <alignment horizontal="left" vertical="top" wrapText="1"/>
      <protection locked="0"/>
    </xf>
    <xf numFmtId="0" fontId="66" fillId="0" borderId="0" xfId="0" applyFont="1" applyAlignment="1" applyProtection="1">
      <alignment horizontal="left" vertical="top" wrapText="1"/>
      <protection locked="0"/>
    </xf>
    <xf numFmtId="0" fontId="61" fillId="0" borderId="0" xfId="0" quotePrefix="1" applyFont="1" applyAlignment="1" applyProtection="1">
      <alignment horizontal="center" vertical="top"/>
      <protection locked="0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right" vertical="top"/>
    </xf>
    <xf numFmtId="0" fontId="69" fillId="29" borderId="3" xfId="0" applyFont="1" applyFill="1" applyBorder="1" applyAlignment="1">
      <alignment horizontal="center" vertical="top" wrapText="1"/>
    </xf>
    <xf numFmtId="1" fontId="61" fillId="0" borderId="3" xfId="0" applyNumberFormat="1" applyFont="1" applyBorder="1" applyAlignment="1" applyProtection="1">
      <alignment horizontal="center" vertical="top" wrapText="1"/>
      <protection locked="0"/>
    </xf>
    <xf numFmtId="3" fontId="69" fillId="29" borderId="3" xfId="0" applyNumberFormat="1" applyFont="1" applyFill="1" applyBorder="1" applyAlignment="1" applyProtection="1">
      <alignment horizontal="center" vertical="top" wrapText="1"/>
      <protection locked="0"/>
    </xf>
    <xf numFmtId="0" fontId="61" fillId="0" borderId="3" xfId="0" quotePrefix="1" applyFont="1" applyBorder="1" applyAlignment="1">
      <alignment horizontal="center" vertical="top"/>
    </xf>
    <xf numFmtId="1" fontId="69" fillId="29" borderId="3" xfId="0" applyNumberFormat="1" applyFont="1" applyFill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Border="1" applyAlignment="1">
      <alignment horizontal="center" vertical="top" wrapText="1"/>
    </xf>
    <xf numFmtId="0" fontId="66" fillId="0" borderId="0" xfId="0" quotePrefix="1" applyFont="1" applyAlignment="1" applyProtection="1">
      <alignment horizontal="center" vertical="top"/>
      <protection locked="0"/>
    </xf>
    <xf numFmtId="0" fontId="61" fillId="29" borderId="0" xfId="0" applyFont="1" applyFill="1" applyAlignment="1" applyProtection="1">
      <alignment vertical="top"/>
      <protection locked="0"/>
    </xf>
    <xf numFmtId="0" fontId="69" fillId="29" borderId="0" xfId="0" applyFont="1" applyFill="1" applyAlignment="1" applyProtection="1">
      <alignment vertical="top"/>
      <protection locked="0"/>
    </xf>
    <xf numFmtId="0" fontId="66" fillId="0" borderId="3" xfId="245" applyFont="1" applyBorder="1" applyAlignment="1">
      <alignment horizontal="left" vertical="top" wrapText="1"/>
    </xf>
    <xf numFmtId="0" fontId="66" fillId="0" borderId="3" xfId="0" applyFont="1" applyBorder="1" applyAlignment="1">
      <alignment horizontal="center" vertical="top"/>
    </xf>
    <xf numFmtId="3" fontId="66" fillId="0" borderId="3" xfId="0" applyNumberFormat="1" applyFont="1" applyBorder="1" applyAlignment="1">
      <alignment horizontal="center" vertical="top" wrapText="1"/>
    </xf>
    <xf numFmtId="0" fontId="63" fillId="0" borderId="0" xfId="245" applyFont="1" applyAlignment="1">
      <alignment vertical="top"/>
    </xf>
    <xf numFmtId="170" fontId="61" fillId="0" borderId="3" xfId="0" quotePrefix="1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vertical="top"/>
    </xf>
    <xf numFmtId="3" fontId="61" fillId="0" borderId="3" xfId="0" applyNumberFormat="1" applyFont="1" applyBorder="1" applyAlignment="1">
      <alignment vertical="top"/>
    </xf>
    <xf numFmtId="170" fontId="61" fillId="0" borderId="0" xfId="0" applyNumberFormat="1" applyFont="1" applyAlignment="1" applyProtection="1">
      <alignment horizontal="center" vertical="top" wrapText="1"/>
      <protection locked="0"/>
    </xf>
    <xf numFmtId="3" fontId="61" fillId="29" borderId="3" xfId="0" quotePrefix="1" applyNumberFormat="1" applyFont="1" applyFill="1" applyBorder="1" applyAlignment="1">
      <alignment horizontal="center" vertical="top" wrapText="1"/>
    </xf>
    <xf numFmtId="0" fontId="61" fillId="29" borderId="0" xfId="0" applyFont="1" applyFill="1" applyAlignment="1">
      <alignment vertical="top"/>
    </xf>
    <xf numFmtId="0" fontId="61" fillId="29" borderId="0" xfId="0" applyFont="1" applyFill="1" applyAlignment="1" applyProtection="1">
      <alignment horizontal="center" vertical="top"/>
      <protection locked="0"/>
    </xf>
    <xf numFmtId="0" fontId="61" fillId="29" borderId="0" xfId="0" applyFont="1" applyFill="1" applyAlignment="1">
      <alignment horizontal="center" vertical="top"/>
    </xf>
    <xf numFmtId="0" fontId="61" fillId="0" borderId="3" xfId="237" applyFont="1" applyBorder="1" applyAlignment="1">
      <alignment horizontal="center" vertical="top"/>
    </xf>
    <xf numFmtId="0" fontId="61" fillId="0" borderId="3" xfId="237" applyFont="1" applyBorder="1" applyAlignment="1">
      <alignment horizontal="center" vertical="top" wrapText="1"/>
    </xf>
    <xf numFmtId="3" fontId="61" fillId="0" borderId="3" xfId="237" applyNumberFormat="1" applyFont="1" applyBorder="1" applyAlignment="1">
      <alignment horizontal="left" vertical="top" wrapText="1"/>
    </xf>
    <xf numFmtId="0" fontId="72" fillId="0" borderId="0" xfId="0" applyFont="1" applyAlignment="1">
      <alignment vertical="top"/>
    </xf>
    <xf numFmtId="177" fontId="61" fillId="0" borderId="3" xfId="323" applyNumberFormat="1" applyFont="1" applyFill="1" applyBorder="1" applyAlignment="1" applyProtection="1">
      <alignment horizontal="right" vertical="top" wrapText="1"/>
      <protection locked="0"/>
    </xf>
    <xf numFmtId="0" fontId="74" fillId="0" borderId="3" xfId="0" applyFont="1" applyBorder="1" applyAlignment="1">
      <alignment vertical="top" wrapText="1"/>
    </xf>
    <xf numFmtId="9" fontId="61" fillId="0" borderId="3" xfId="0" applyNumberFormat="1" applyFont="1" applyBorder="1" applyAlignment="1">
      <alignment horizontal="center" vertical="top" wrapText="1"/>
    </xf>
    <xf numFmtId="178" fontId="61" fillId="0" borderId="3" xfId="237" applyNumberFormat="1" applyFont="1" applyBorder="1" applyAlignment="1">
      <alignment horizontal="center" vertical="top" wrapText="1"/>
    </xf>
    <xf numFmtId="3" fontId="61" fillId="29" borderId="3" xfId="0" applyNumberFormat="1" applyFont="1" applyFill="1" applyBorder="1" applyAlignment="1">
      <alignment horizontal="center" vertical="top" wrapText="1"/>
    </xf>
    <xf numFmtId="0" fontId="61" fillId="29" borderId="3" xfId="0" applyFont="1" applyFill="1" applyBorder="1" applyAlignment="1">
      <alignment horizontal="center" vertical="top"/>
    </xf>
    <xf numFmtId="170" fontId="61" fillId="29" borderId="3" xfId="0" applyNumberFormat="1" applyFont="1" applyFill="1" applyBorder="1" applyAlignment="1">
      <alignment horizontal="center" vertical="top" wrapText="1"/>
    </xf>
    <xf numFmtId="0" fontId="61" fillId="29" borderId="3" xfId="0" applyFont="1" applyFill="1" applyBorder="1" applyAlignment="1" applyProtection="1">
      <alignment horizontal="left" vertical="top" wrapText="1"/>
      <protection locked="0"/>
    </xf>
    <xf numFmtId="0" fontId="66" fillId="29" borderId="3" xfId="0" applyFont="1" applyFill="1" applyBorder="1" applyAlignment="1" applyProtection="1">
      <alignment horizontal="left" vertical="top" wrapText="1"/>
      <protection locked="0"/>
    </xf>
    <xf numFmtId="170" fontId="68" fillId="29" borderId="3" xfId="0" applyNumberFormat="1" applyFont="1" applyFill="1" applyBorder="1" applyAlignment="1">
      <alignment horizontal="center" vertical="top" wrapText="1"/>
    </xf>
    <xf numFmtId="0" fontId="61" fillId="29" borderId="3" xfId="0" applyFont="1" applyFill="1" applyBorder="1" applyAlignment="1">
      <alignment horizontal="center" vertical="top" wrapText="1"/>
    </xf>
    <xf numFmtId="1" fontId="73" fillId="0" borderId="3" xfId="0" applyNumberFormat="1" applyFont="1" applyBorder="1" applyAlignment="1" applyProtection="1">
      <alignment horizontal="center" vertical="center" wrapText="1"/>
      <protection locked="0"/>
    </xf>
    <xf numFmtId="1" fontId="73" fillId="0" borderId="3" xfId="0" applyNumberFormat="1" applyFont="1" applyBorder="1" applyAlignment="1">
      <alignment horizontal="center" vertical="center" wrapText="1"/>
    </xf>
    <xf numFmtId="3" fontId="61" fillId="0" borderId="0" xfId="0" applyNumberFormat="1" applyFont="1" applyAlignment="1">
      <alignment vertical="top"/>
    </xf>
    <xf numFmtId="0" fontId="73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top" wrapText="1" shrinkToFit="1"/>
    </xf>
    <xf numFmtId="0" fontId="61" fillId="0" borderId="2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 shrinkToFit="1"/>
    </xf>
    <xf numFmtId="170" fontId="61" fillId="0" borderId="14" xfId="0" quotePrefix="1" applyNumberFormat="1" applyFont="1" applyBorder="1" applyAlignment="1">
      <alignment horizontal="center" vertical="top" wrapText="1"/>
    </xf>
    <xf numFmtId="170" fontId="61" fillId="0" borderId="14" xfId="0" applyNumberFormat="1" applyFont="1" applyBorder="1" applyAlignment="1">
      <alignment horizontal="center" vertical="top" wrapText="1"/>
    </xf>
    <xf numFmtId="3" fontId="68" fillId="0" borderId="3" xfId="0" quotePrefix="1" applyNumberFormat="1" applyFont="1" applyBorder="1" applyAlignment="1">
      <alignment horizontal="center" vertical="top" wrapText="1"/>
    </xf>
    <xf numFmtId="170" fontId="68" fillId="0" borderId="14" xfId="0" quotePrefix="1" applyNumberFormat="1" applyFont="1" applyBorder="1" applyAlignment="1">
      <alignment horizontal="center" vertical="top" wrapText="1"/>
    </xf>
    <xf numFmtId="3" fontId="68" fillId="0" borderId="3" xfId="0" applyNumberFormat="1" applyFont="1" applyBorder="1" applyAlignment="1">
      <alignment horizontal="center" vertical="top" wrapText="1"/>
    </xf>
    <xf numFmtId="170" fontId="68" fillId="0" borderId="14" xfId="0" applyNumberFormat="1" applyFont="1" applyBorder="1" applyAlignment="1">
      <alignment horizontal="center" vertical="top" wrapText="1"/>
    </xf>
    <xf numFmtId="1" fontId="68" fillId="0" borderId="3" xfId="0" applyNumberFormat="1" applyFont="1" applyBorder="1" applyAlignment="1" applyProtection="1">
      <alignment horizontal="center" vertical="top" wrapText="1"/>
      <protection locked="0"/>
    </xf>
    <xf numFmtId="1" fontId="68" fillId="0" borderId="14" xfId="0" applyNumberFormat="1" applyFont="1" applyBorder="1" applyAlignment="1" applyProtection="1">
      <alignment horizontal="center" vertical="top" wrapText="1"/>
      <protection locked="0"/>
    </xf>
    <xf numFmtId="3" fontId="77" fillId="0" borderId="3" xfId="0" quotePrefix="1" applyNumberFormat="1" applyFont="1" applyBorder="1" applyAlignment="1">
      <alignment horizontal="center" vertical="top" wrapText="1"/>
    </xf>
    <xf numFmtId="170" fontId="77" fillId="0" borderId="14" xfId="0" quotePrefix="1" applyNumberFormat="1" applyFont="1" applyBorder="1" applyAlignment="1">
      <alignment horizontal="center" vertical="top" wrapText="1"/>
    </xf>
    <xf numFmtId="0" fontId="68" fillId="0" borderId="3" xfId="0" applyFont="1" applyBorder="1" applyAlignment="1" applyProtection="1">
      <alignment horizontal="center" vertical="top" wrapText="1"/>
      <protection locked="0"/>
    </xf>
    <xf numFmtId="0" fontId="68" fillId="0" borderId="14" xfId="0" applyFont="1" applyBorder="1" applyAlignment="1" applyProtection="1">
      <alignment horizontal="center" vertical="top" wrapText="1"/>
      <protection locked="0"/>
    </xf>
    <xf numFmtId="3" fontId="68" fillId="0" borderId="3" xfId="0" applyNumberFormat="1" applyFont="1" applyBorder="1" applyAlignment="1">
      <alignment vertical="top"/>
    </xf>
    <xf numFmtId="0" fontId="68" fillId="0" borderId="14" xfId="0" applyFont="1" applyBorder="1" applyAlignment="1">
      <alignment vertical="top"/>
    </xf>
    <xf numFmtId="0" fontId="61" fillId="30" borderId="0" xfId="0" applyFont="1" applyFill="1" applyAlignment="1">
      <alignment vertical="top"/>
    </xf>
    <xf numFmtId="3" fontId="66" fillId="0" borderId="0" xfId="0" applyNumberFormat="1" applyFont="1" applyAlignment="1">
      <alignment vertical="top"/>
    </xf>
    <xf numFmtId="170" fontId="61" fillId="0" borderId="0" xfId="0" quotePrefix="1" applyNumberFormat="1" applyFont="1" applyAlignment="1" applyProtection="1">
      <alignment vertical="top" wrapText="1"/>
      <protection locked="0"/>
    </xf>
    <xf numFmtId="0" fontId="69" fillId="29" borderId="0" xfId="0" applyFont="1" applyFill="1" applyAlignment="1">
      <alignment vertical="top"/>
    </xf>
    <xf numFmtId="0" fontId="69" fillId="29" borderId="0" xfId="0" applyFont="1" applyFill="1" applyAlignment="1">
      <alignment horizontal="right" vertical="top"/>
    </xf>
    <xf numFmtId="0" fontId="69" fillId="29" borderId="3" xfId="0" applyFont="1" applyFill="1" applyBorder="1" applyAlignment="1">
      <alignment horizontal="center" vertical="top" wrapText="1" shrinkToFit="1"/>
    </xf>
    <xf numFmtId="3" fontId="69" fillId="29" borderId="3" xfId="0" quotePrefix="1" applyNumberFormat="1" applyFont="1" applyFill="1" applyBorder="1" applyAlignment="1">
      <alignment horizontal="center" vertical="top" wrapText="1"/>
    </xf>
    <xf numFmtId="170" fontId="69" fillId="29" borderId="3" xfId="0" applyNumberFormat="1" applyFont="1" applyFill="1" applyBorder="1" applyAlignment="1">
      <alignment horizontal="center" vertical="top" wrapText="1"/>
    </xf>
    <xf numFmtId="3" fontId="69" fillId="29" borderId="3" xfId="0" applyNumberFormat="1" applyFont="1" applyFill="1" applyBorder="1" applyAlignment="1">
      <alignment horizontal="center" vertical="top" wrapText="1"/>
    </xf>
    <xf numFmtId="170" fontId="69" fillId="29" borderId="3" xfId="0" quotePrefix="1" applyNumberFormat="1" applyFont="1" applyFill="1" applyBorder="1" applyAlignment="1">
      <alignment horizontal="center" vertical="top" wrapText="1"/>
    </xf>
    <xf numFmtId="170" fontId="69" fillId="29" borderId="3" xfId="0" applyNumberFormat="1" applyFont="1" applyFill="1" applyBorder="1" applyAlignment="1">
      <alignment vertical="top"/>
    </xf>
    <xf numFmtId="0" fontId="69" fillId="29" borderId="0" xfId="0" quotePrefix="1" applyFont="1" applyFill="1" applyAlignment="1" applyProtection="1">
      <alignment horizontal="center" vertical="top"/>
      <protection locked="0"/>
    </xf>
    <xf numFmtId="3" fontId="71" fillId="29" borderId="3" xfId="0" applyNumberFormat="1" applyFont="1" applyFill="1" applyBorder="1" applyAlignment="1">
      <alignment horizontal="center" vertical="top" wrapText="1"/>
    </xf>
    <xf numFmtId="177" fontId="61" fillId="0" borderId="3" xfId="323" applyNumberFormat="1" applyFont="1" applyFill="1" applyBorder="1" applyAlignment="1" applyProtection="1">
      <alignment horizontal="center" vertical="top" wrapText="1"/>
      <protection locked="0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29" borderId="0" xfId="0" applyFont="1" applyFill="1" applyAlignment="1">
      <alignment horizontal="right" vertical="center"/>
    </xf>
    <xf numFmtId="0" fontId="73" fillId="29" borderId="0" xfId="0" applyFont="1" applyFill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0" fontId="80" fillId="29" borderId="0" xfId="0" applyFont="1" applyFill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73" fillId="0" borderId="3" xfId="0" applyFont="1" applyBorder="1" applyAlignment="1">
      <alignment vertical="center" wrapText="1"/>
    </xf>
    <xf numFmtId="0" fontId="61" fillId="0" borderId="3" xfId="0" applyFont="1" applyBorder="1" applyAlignment="1">
      <alignment horizontal="center" vertical="center" wrapText="1" shrinkToFit="1"/>
    </xf>
    <xf numFmtId="0" fontId="76" fillId="0" borderId="3" xfId="0" applyFont="1" applyBorder="1" applyAlignment="1">
      <alignment horizontal="center" vertical="center" wrapText="1" shrinkToFit="1"/>
    </xf>
    <xf numFmtId="0" fontId="76" fillId="0" borderId="0" xfId="0" applyFont="1" applyAlignment="1">
      <alignment vertical="center"/>
    </xf>
    <xf numFmtId="169" fontId="80" fillId="0" borderId="0" xfId="0" applyNumberFormat="1" applyFont="1" applyAlignment="1">
      <alignment horizontal="right" vertical="center" wrapText="1"/>
    </xf>
    <xf numFmtId="0" fontId="80" fillId="29" borderId="0" xfId="0" applyFont="1" applyFill="1" applyAlignment="1">
      <alignment horizontal="left" vertical="center"/>
    </xf>
    <xf numFmtId="0" fontId="81" fillId="0" borderId="0" xfId="0" applyFont="1" applyAlignment="1">
      <alignment horizontal="justify"/>
    </xf>
    <xf numFmtId="0" fontId="82" fillId="0" borderId="0" xfId="0" applyFont="1" applyAlignment="1">
      <alignment horizontal="left" vertical="center"/>
    </xf>
    <xf numFmtId="0" fontId="73" fillId="0" borderId="15" xfId="0" applyFont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76" fillId="0" borderId="0" xfId="0" applyFont="1" applyAlignment="1">
      <alignment horizontal="right" vertical="center"/>
    </xf>
    <xf numFmtId="1" fontId="74" fillId="0" borderId="3" xfId="0" applyNumberFormat="1" applyFont="1" applyBorder="1" applyAlignment="1">
      <alignment vertical="top" wrapText="1"/>
    </xf>
    <xf numFmtId="169" fontId="74" fillId="0" borderId="3" xfId="0" applyNumberFormat="1" applyFont="1" applyBorder="1" applyAlignment="1">
      <alignment vertical="top" wrapText="1"/>
    </xf>
    <xf numFmtId="0" fontId="80" fillId="0" borderId="0" xfId="0" applyFont="1" applyAlignment="1">
      <alignment horizontal="right" vertical="center"/>
    </xf>
    <xf numFmtId="169" fontId="80" fillId="0" borderId="0" xfId="0" applyNumberFormat="1" applyFont="1" applyAlignment="1">
      <alignment horizontal="right" vertical="center"/>
    </xf>
    <xf numFmtId="169" fontId="80" fillId="29" borderId="0" xfId="0" applyNumberFormat="1" applyFont="1" applyFill="1" applyAlignment="1">
      <alignment horizontal="righ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29" borderId="0" xfId="0" applyFont="1" applyFill="1" applyAlignment="1">
      <alignment vertical="center"/>
    </xf>
    <xf numFmtId="0" fontId="84" fillId="0" borderId="0" xfId="0" applyFont="1"/>
    <xf numFmtId="0" fontId="84" fillId="0" borderId="0" xfId="0" applyFont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84" fillId="29" borderId="0" xfId="0" applyFont="1" applyFill="1"/>
    <xf numFmtId="169" fontId="86" fillId="0" borderId="0" xfId="0" applyNumberFormat="1" applyFont="1" applyAlignment="1">
      <alignment horizontal="right" vertical="center"/>
    </xf>
    <xf numFmtId="0" fontId="73" fillId="0" borderId="0" xfId="0" applyFont="1" applyAlignment="1">
      <alignment vertical="center" wrapText="1"/>
    </xf>
    <xf numFmtId="0" fontId="73" fillId="29" borderId="0" xfId="0" applyFont="1" applyFill="1" applyAlignment="1">
      <alignment horizontal="center" vertical="center"/>
    </xf>
    <xf numFmtId="170" fontId="73" fillId="29" borderId="0" xfId="0" applyNumberFormat="1" applyFont="1" applyFill="1" applyAlignment="1" applyProtection="1">
      <alignment vertical="center" wrapText="1"/>
      <protection locked="0"/>
    </xf>
    <xf numFmtId="170" fontId="73" fillId="29" borderId="15" xfId="0" quotePrefix="1" applyNumberFormat="1" applyFont="1" applyFill="1" applyBorder="1" applyAlignment="1" applyProtection="1">
      <alignment vertical="center" wrapText="1"/>
      <protection locked="0"/>
    </xf>
    <xf numFmtId="170" fontId="87" fillId="29" borderId="0" xfId="0" applyNumberFormat="1" applyFont="1" applyFill="1" applyAlignment="1" applyProtection="1">
      <alignment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>
      <alignment vertical="center" wrapText="1" shrinkToFit="1"/>
    </xf>
    <xf numFmtId="0" fontId="73" fillId="29" borderId="0" xfId="0" applyFont="1" applyFill="1" applyAlignment="1">
      <alignment vertical="center" wrapText="1" shrinkToFit="1"/>
    </xf>
    <xf numFmtId="0" fontId="88" fillId="0" borderId="0" xfId="0" applyFont="1" applyAlignment="1">
      <alignment vertical="center"/>
    </xf>
    <xf numFmtId="3" fontId="69" fillId="31" borderId="3" xfId="0" applyNumberFormat="1" applyFont="1" applyFill="1" applyBorder="1" applyAlignment="1">
      <alignment horizontal="center" vertical="top" wrapText="1"/>
    </xf>
    <xf numFmtId="0" fontId="73" fillId="0" borderId="3" xfId="0" applyFont="1" applyBorder="1" applyAlignment="1">
      <alignment horizontal="center" vertical="top" wrapText="1"/>
    </xf>
    <xf numFmtId="0" fontId="73" fillId="0" borderId="3" xfId="0" applyFont="1" applyBorder="1" applyAlignment="1">
      <alignment vertical="top" wrapText="1"/>
    </xf>
    <xf numFmtId="0" fontId="73" fillId="29" borderId="3" xfId="0" applyFont="1" applyFill="1" applyBorder="1" applyAlignment="1">
      <alignment horizontal="center" vertical="top" wrapText="1"/>
    </xf>
    <xf numFmtId="0" fontId="73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76" fillId="0" borderId="3" xfId="0" applyFont="1" applyBorder="1" applyAlignment="1">
      <alignment horizontal="center" vertical="top" wrapText="1"/>
    </xf>
    <xf numFmtId="0" fontId="76" fillId="0" borderId="3" xfId="0" applyFont="1" applyBorder="1" applyAlignment="1">
      <alignment vertical="top" wrapText="1"/>
    </xf>
    <xf numFmtId="0" fontId="76" fillId="29" borderId="3" xfId="0" applyFont="1" applyFill="1" applyBorder="1" applyAlignment="1">
      <alignment vertical="top" wrapText="1"/>
    </xf>
    <xf numFmtId="0" fontId="61" fillId="31" borderId="0" xfId="0" applyFont="1" applyFill="1" applyAlignment="1">
      <alignment vertical="top"/>
    </xf>
    <xf numFmtId="0" fontId="66" fillId="0" borderId="3" xfId="0" applyFont="1" applyBorder="1" applyAlignment="1">
      <alignment horizontal="center" vertical="top" wrapText="1"/>
    </xf>
    <xf numFmtId="0" fontId="66" fillId="0" borderId="3" xfId="237" applyFont="1" applyBorder="1" applyAlignment="1">
      <alignment horizontal="center" vertical="top" wrapText="1"/>
    </xf>
    <xf numFmtId="3" fontId="61" fillId="0" borderId="3" xfId="0" applyNumberFormat="1" applyFont="1" applyBorder="1" applyAlignment="1">
      <alignment horizontal="center" vertical="center" wrapText="1"/>
    </xf>
    <xf numFmtId="1" fontId="76" fillId="0" borderId="3" xfId="0" applyNumberFormat="1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178" fontId="66" fillId="0" borderId="3" xfId="237" applyNumberFormat="1" applyFont="1" applyBorder="1" applyAlignment="1">
      <alignment horizontal="center" vertical="top" wrapText="1"/>
    </xf>
    <xf numFmtId="3" fontId="66" fillId="0" borderId="3" xfId="237" applyNumberFormat="1" applyFont="1" applyBorder="1" applyAlignment="1">
      <alignment horizontal="left" vertical="top" wrapText="1"/>
    </xf>
    <xf numFmtId="1" fontId="76" fillId="0" borderId="3" xfId="0" applyNumberFormat="1" applyFont="1" applyBorder="1" applyAlignment="1">
      <alignment vertical="top" wrapText="1"/>
    </xf>
    <xf numFmtId="0" fontId="73" fillId="0" borderId="3" xfId="0" applyFont="1" applyBorder="1" applyAlignment="1">
      <alignment horizontal="right" vertical="top" wrapText="1"/>
    </xf>
    <xf numFmtId="1" fontId="76" fillId="0" borderId="3" xfId="0" applyNumberFormat="1" applyFont="1" applyBorder="1" applyAlignment="1" applyProtection="1">
      <alignment horizontal="center" vertical="center" wrapText="1"/>
      <protection locked="0"/>
    </xf>
    <xf numFmtId="0" fontId="76" fillId="0" borderId="3" xfId="0" applyFont="1" applyBorder="1" applyAlignment="1">
      <alignment vertical="top"/>
    </xf>
    <xf numFmtId="1" fontId="73" fillId="0" borderId="3" xfId="0" applyNumberFormat="1" applyFont="1" applyBorder="1" applyAlignment="1">
      <alignment horizontal="center" vertical="top" wrapText="1"/>
    </xf>
    <xf numFmtId="0" fontId="61" fillId="0" borderId="17" xfId="0" applyFont="1" applyBorder="1" applyAlignment="1" applyProtection="1">
      <alignment vertical="top"/>
      <protection locked="0"/>
    </xf>
    <xf numFmtId="0" fontId="61" fillId="0" borderId="17" xfId="0" applyFont="1" applyBorder="1" applyAlignment="1" applyProtection="1">
      <alignment vertical="top" wrapText="1"/>
      <protection locked="0"/>
    </xf>
    <xf numFmtId="3" fontId="61" fillId="0" borderId="0" xfId="0" applyNumberFormat="1" applyFont="1" applyAlignment="1" applyProtection="1">
      <alignment horizontal="center" vertical="top"/>
      <protection locked="0"/>
    </xf>
    <xf numFmtId="0" fontId="66" fillId="29" borderId="0" xfId="0" applyFont="1" applyFill="1" applyAlignment="1">
      <alignment vertical="top"/>
    </xf>
    <xf numFmtId="1" fontId="73" fillId="0" borderId="3" xfId="0" applyNumberFormat="1" applyFont="1" applyBorder="1" applyAlignment="1">
      <alignment horizontal="right" vertical="top" wrapText="1"/>
    </xf>
    <xf numFmtId="9" fontId="73" fillId="0" borderId="3" xfId="355" applyFont="1" applyBorder="1" applyAlignment="1">
      <alignment vertical="top" wrapText="1"/>
    </xf>
    <xf numFmtId="9" fontId="89" fillId="0" borderId="3" xfId="355" applyFont="1" applyFill="1" applyBorder="1" applyAlignment="1">
      <alignment vertical="top" wrapText="1"/>
    </xf>
    <xf numFmtId="0" fontId="61" fillId="0" borderId="3" xfId="245" applyFont="1" applyBorder="1" applyAlignment="1" applyProtection="1">
      <alignment horizontal="left" vertical="top" wrapText="1"/>
      <protection locked="0"/>
    </xf>
    <xf numFmtId="170" fontId="61" fillId="0" borderId="3" xfId="237" applyNumberFormat="1" applyFont="1" applyBorder="1" applyAlignment="1">
      <alignment horizontal="center" vertical="top" wrapText="1"/>
    </xf>
    <xf numFmtId="170" fontId="66" fillId="0" borderId="3" xfId="237" applyNumberFormat="1" applyFont="1" applyBorder="1" applyAlignment="1">
      <alignment horizontal="center" vertical="top" wrapText="1"/>
    </xf>
    <xf numFmtId="4" fontId="61" fillId="0" borderId="3" xfId="237" applyNumberFormat="1" applyFont="1" applyBorder="1" applyAlignment="1">
      <alignment horizontal="center" vertical="top" wrapText="1"/>
    </xf>
    <xf numFmtId="0" fontId="73" fillId="0" borderId="17" xfId="0" applyFont="1" applyBorder="1" applyAlignment="1">
      <alignment vertical="top" wrapText="1"/>
    </xf>
    <xf numFmtId="3" fontId="61" fillId="29" borderId="3" xfId="0" applyNumberFormat="1" applyFont="1" applyFill="1" applyBorder="1" applyAlignment="1">
      <alignment horizontal="center" vertical="center" wrapText="1"/>
    </xf>
    <xf numFmtId="0" fontId="73" fillId="29" borderId="0" xfId="0" applyFont="1" applyFill="1" applyAlignment="1">
      <alignment vertical="top"/>
    </xf>
    <xf numFmtId="0" fontId="76" fillId="29" borderId="0" xfId="0" applyFont="1" applyFill="1" applyAlignment="1">
      <alignment vertical="top"/>
    </xf>
    <xf numFmtId="0" fontId="61" fillId="0" borderId="0" xfId="0" applyFont="1" applyAlignment="1">
      <alignment horizontal="left" vertical="top" wrapText="1"/>
    </xf>
    <xf numFmtId="0" fontId="61" fillId="0" borderId="3" xfId="245" applyFont="1" applyBorder="1" applyAlignment="1">
      <alignment horizontal="center" vertical="top"/>
    </xf>
    <xf numFmtId="3" fontId="61" fillId="0" borderId="3" xfId="0" applyNumberFormat="1" applyFont="1" applyBorder="1" applyAlignment="1" applyProtection="1">
      <alignment horizontal="center" vertical="top" wrapText="1"/>
      <protection locked="0"/>
    </xf>
    <xf numFmtId="3" fontId="69" fillId="0" borderId="3" xfId="0" applyNumberFormat="1" applyFont="1" applyBorder="1" applyAlignment="1" applyProtection="1">
      <alignment horizontal="center" vertical="top" wrapText="1"/>
      <protection locked="0"/>
    </xf>
    <xf numFmtId="0" fontId="66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75" fillId="0" borderId="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right" vertical="top" wrapText="1"/>
    </xf>
    <xf numFmtId="0" fontId="66" fillId="0" borderId="3" xfId="0" quotePrefix="1" applyFont="1" applyBorder="1" applyAlignment="1">
      <alignment horizontal="center" vertical="top"/>
    </xf>
    <xf numFmtId="3" fontId="66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Border="1" applyAlignment="1" applyProtection="1">
      <alignment horizontal="center" vertical="top" wrapText="1"/>
      <protection locked="0"/>
    </xf>
    <xf numFmtId="170" fontId="61" fillId="0" borderId="3" xfId="0" quotePrefix="1" applyNumberFormat="1" applyFont="1" applyBorder="1" applyAlignment="1" applyProtection="1">
      <alignment horizontal="center" vertical="top" wrapText="1"/>
      <protection locked="0"/>
    </xf>
    <xf numFmtId="49" fontId="61" fillId="0" borderId="3" xfId="0" quotePrefix="1" applyNumberFormat="1" applyFont="1" applyBorder="1" applyAlignment="1" applyProtection="1">
      <alignment horizontal="left" vertical="top" wrapText="1"/>
      <protection locked="0"/>
    </xf>
    <xf numFmtId="3" fontId="66" fillId="0" borderId="3" xfId="0" quotePrefix="1" applyNumberFormat="1" applyFont="1" applyBorder="1" applyAlignment="1">
      <alignment horizontal="center" vertical="top" wrapText="1"/>
    </xf>
    <xf numFmtId="49" fontId="61" fillId="0" borderId="3" xfId="0" quotePrefix="1" applyNumberFormat="1" applyFont="1" applyBorder="1" applyAlignment="1">
      <alignment horizontal="left" vertical="top" wrapText="1"/>
    </xf>
    <xf numFmtId="49" fontId="61" fillId="0" borderId="3" xfId="0" applyNumberFormat="1" applyFont="1" applyBorder="1" applyAlignment="1" applyProtection="1">
      <alignment horizontal="left" vertical="top" wrapText="1"/>
      <protection locked="0"/>
    </xf>
    <xf numFmtId="0" fontId="70" fillId="0" borderId="3" xfId="0" applyFont="1" applyBorder="1" applyAlignment="1">
      <alignment horizontal="left" vertical="top" wrapText="1"/>
    </xf>
    <xf numFmtId="170" fontId="61" fillId="0" borderId="3" xfId="0" applyNumberFormat="1" applyFont="1" applyBorder="1" applyAlignment="1" applyProtection="1">
      <alignment horizontal="center" vertical="top" wrapText="1"/>
      <protection locked="0"/>
    </xf>
    <xf numFmtId="49" fontId="66" fillId="0" borderId="3" xfId="0" quotePrefix="1" applyNumberFormat="1" applyFont="1" applyBorder="1" applyAlignment="1">
      <alignment horizontal="left" vertical="top" wrapText="1"/>
    </xf>
    <xf numFmtId="3" fontId="61" fillId="0" borderId="3" xfId="0" quotePrefix="1" applyNumberFormat="1" applyFont="1" applyBorder="1" applyAlignment="1" applyProtection="1">
      <alignment horizontal="right" vertical="top" wrapText="1"/>
      <protection locked="0"/>
    </xf>
    <xf numFmtId="3" fontId="66" fillId="0" borderId="3" xfId="0" quotePrefix="1" applyNumberFormat="1" applyFont="1" applyBorder="1" applyAlignment="1">
      <alignment horizontal="center" vertical="top"/>
    </xf>
    <xf numFmtId="170" fontId="66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Border="1" applyAlignment="1">
      <alignment horizontal="center" vertical="top"/>
    </xf>
    <xf numFmtId="3" fontId="61" fillId="0" borderId="3" xfId="0" quotePrefix="1" applyNumberFormat="1" applyFont="1" applyBorder="1" applyAlignment="1">
      <alignment horizontal="right" vertical="top"/>
    </xf>
    <xf numFmtId="1" fontId="61" fillId="0" borderId="3" xfId="0" applyNumberFormat="1" applyFont="1" applyBorder="1" applyAlignment="1" applyProtection="1">
      <alignment horizontal="right" vertical="top" wrapText="1"/>
      <protection locked="0"/>
    </xf>
    <xf numFmtId="3" fontId="61" fillId="0" borderId="3" xfId="0" applyNumberFormat="1" applyFont="1" applyBorder="1" applyAlignment="1">
      <alignment horizontal="center" vertical="top"/>
    </xf>
    <xf numFmtId="3" fontId="66" fillId="0" borderId="3" xfId="0" quotePrefix="1" applyNumberFormat="1" applyFont="1" applyBorder="1" applyAlignment="1" applyProtection="1">
      <alignment horizontal="right" vertical="top" wrapText="1"/>
      <protection locked="0"/>
    </xf>
    <xf numFmtId="0" fontId="66" fillId="0" borderId="3" xfId="0" applyFont="1" applyBorder="1" applyAlignment="1">
      <alignment horizontal="left" vertical="top" wrapText="1" shrinkToFit="1"/>
    </xf>
    <xf numFmtId="0" fontId="61" fillId="0" borderId="3" xfId="0" quotePrefix="1" applyFont="1" applyBorder="1" applyAlignment="1" applyProtection="1">
      <alignment horizontal="center" vertical="top"/>
      <protection locked="0"/>
    </xf>
    <xf numFmtId="3" fontId="70" fillId="0" borderId="3" xfId="0" quotePrefix="1" applyNumberFormat="1" applyFont="1" applyBorder="1" applyAlignment="1" applyProtection="1">
      <alignment horizontal="center" vertical="top" wrapText="1"/>
      <protection locked="0"/>
    </xf>
    <xf numFmtId="1" fontId="66" fillId="0" borderId="3" xfId="0" applyNumberFormat="1" applyFont="1" applyBorder="1" applyAlignment="1" applyProtection="1">
      <alignment horizontal="center" vertical="top" wrapText="1"/>
      <protection locked="0"/>
    </xf>
    <xf numFmtId="49" fontId="66" fillId="0" borderId="3" xfId="0" quotePrefix="1" applyNumberFormat="1" applyFont="1" applyBorder="1" applyAlignment="1" applyProtection="1">
      <alignment horizontal="left" vertical="top" wrapText="1"/>
      <protection locked="0"/>
    </xf>
    <xf numFmtId="3" fontId="61" fillId="0" borderId="3" xfId="0" applyNumberFormat="1" applyFont="1" applyBorder="1" applyAlignment="1" applyProtection="1">
      <alignment horizontal="right" vertical="top" wrapText="1"/>
      <protection locked="0"/>
    </xf>
    <xf numFmtId="3" fontId="66" fillId="0" borderId="0" xfId="0" quotePrefix="1" applyNumberFormat="1" applyFont="1" applyAlignment="1" applyProtection="1">
      <alignment horizontal="center" vertical="top"/>
      <protection locked="0"/>
    </xf>
    <xf numFmtId="1" fontId="61" fillId="0" borderId="0" xfId="0" applyNumberFormat="1" applyFont="1" applyAlignment="1">
      <alignment horizontal="right" vertical="top"/>
    </xf>
    <xf numFmtId="14" fontId="61" fillId="0" borderId="0" xfId="0" applyNumberFormat="1" applyFont="1" applyAlignment="1">
      <alignment horizontal="center" vertical="top"/>
    </xf>
    <xf numFmtId="170" fontId="68" fillId="0" borderId="3" xfId="0" quotePrefix="1" applyNumberFormat="1" applyFont="1" applyBorder="1" applyAlignment="1" applyProtection="1">
      <alignment horizontal="center" vertical="top" wrapText="1"/>
      <protection locked="0"/>
    </xf>
    <xf numFmtId="170" fontId="77" fillId="0" borderId="3" xfId="0" quotePrefix="1" applyNumberFormat="1" applyFont="1" applyBorder="1" applyAlignment="1" applyProtection="1">
      <alignment horizontal="center" vertical="top" wrapText="1"/>
      <protection locked="0"/>
    </xf>
    <xf numFmtId="0" fontId="61" fillId="0" borderId="0" xfId="245" applyFont="1" applyAlignment="1">
      <alignment vertical="top"/>
    </xf>
    <xf numFmtId="0" fontId="61" fillId="0" borderId="0" xfId="245" applyFont="1" applyAlignment="1">
      <alignment horizontal="center" vertical="top"/>
    </xf>
    <xf numFmtId="0" fontId="66" fillId="0" borderId="0" xfId="245" applyFont="1" applyAlignment="1">
      <alignment horizontal="center" vertical="top"/>
    </xf>
    <xf numFmtId="0" fontId="61" fillId="0" borderId="3" xfId="245" applyFont="1" applyBorder="1" applyAlignment="1">
      <alignment horizontal="center" vertical="top" wrapText="1"/>
    </xf>
    <xf numFmtId="0" fontId="66" fillId="0" borderId="0" xfId="245" applyFont="1" applyAlignment="1">
      <alignment vertical="top"/>
    </xf>
    <xf numFmtId="170" fontId="66" fillId="0" borderId="3" xfId="0" applyNumberFormat="1" applyFont="1" applyBorder="1" applyAlignment="1">
      <alignment horizontal="center" vertical="top" wrapText="1"/>
    </xf>
    <xf numFmtId="0" fontId="66" fillId="0" borderId="3" xfId="245" applyFont="1" applyBorder="1" applyAlignment="1">
      <alignment horizontal="center" vertical="top"/>
    </xf>
    <xf numFmtId="3" fontId="66" fillId="0" borderId="3" xfId="245" applyNumberFormat="1" applyFont="1" applyBorder="1" applyAlignment="1">
      <alignment horizontal="center" vertical="top" wrapText="1"/>
    </xf>
    <xf numFmtId="3" fontId="61" fillId="0" borderId="3" xfId="245" applyNumberFormat="1" applyFont="1" applyBorder="1" applyAlignment="1">
      <alignment horizontal="center" vertical="top" wrapText="1"/>
    </xf>
    <xf numFmtId="0" fontId="61" fillId="0" borderId="0" xfId="245" applyFont="1" applyAlignment="1" applyProtection="1">
      <alignment horizontal="left" vertical="top" wrapText="1"/>
      <protection locked="0"/>
    </xf>
    <xf numFmtId="0" fontId="61" fillId="0" borderId="0" xfId="245" applyFont="1" applyAlignment="1" applyProtection="1">
      <alignment horizontal="center" vertical="top"/>
      <protection locked="0"/>
    </xf>
    <xf numFmtId="0" fontId="61" fillId="0" borderId="0" xfId="245" applyFont="1" applyAlignment="1" applyProtection="1">
      <alignment vertical="top" wrapText="1"/>
      <protection locked="0"/>
    </xf>
    <xf numFmtId="0" fontId="61" fillId="0" borderId="0" xfId="245" applyFont="1" applyAlignment="1">
      <alignment vertical="top" wrapText="1"/>
    </xf>
    <xf numFmtId="0" fontId="68" fillId="0" borderId="0" xfId="245" applyFont="1" applyAlignment="1">
      <alignment vertical="top"/>
    </xf>
    <xf numFmtId="0" fontId="77" fillId="0" borderId="0" xfId="245" applyFont="1" applyAlignment="1">
      <alignment vertical="top"/>
    </xf>
    <xf numFmtId="3" fontId="68" fillId="0" borderId="0" xfId="245" applyNumberFormat="1" applyFont="1" applyAlignment="1">
      <alignment vertical="top"/>
    </xf>
    <xf numFmtId="0" fontId="77" fillId="0" borderId="0" xfId="245" applyFont="1" applyAlignment="1">
      <alignment horizontal="center" vertical="top"/>
    </xf>
    <xf numFmtId="0" fontId="68" fillId="0" borderId="0" xfId="0" applyFont="1" applyAlignment="1">
      <alignment vertical="top"/>
    </xf>
    <xf numFmtId="0" fontId="68" fillId="0" borderId="0" xfId="0" applyFont="1" applyAlignment="1" applyProtection="1">
      <alignment vertical="top"/>
      <protection locked="0"/>
    </xf>
    <xf numFmtId="0" fontId="68" fillId="0" borderId="0" xfId="245" applyFont="1" applyAlignment="1">
      <alignment horizontal="center" vertical="top"/>
    </xf>
    <xf numFmtId="170" fontId="68" fillId="0" borderId="3" xfId="0" quotePrefix="1" applyNumberFormat="1" applyFont="1" applyBorder="1" applyAlignment="1">
      <alignment horizontal="center" vertical="top" wrapText="1"/>
    </xf>
    <xf numFmtId="3" fontId="69" fillId="0" borderId="3" xfId="0" applyNumberFormat="1" applyFont="1" applyBorder="1" applyAlignment="1">
      <alignment horizontal="center" vertical="top" wrapText="1"/>
    </xf>
    <xf numFmtId="170" fontId="77" fillId="0" borderId="3" xfId="0" quotePrefix="1" applyNumberFormat="1" applyFont="1" applyBorder="1" applyAlignment="1">
      <alignment horizontal="center" vertical="top" wrapText="1"/>
    </xf>
    <xf numFmtId="170" fontId="61" fillId="0" borderId="3" xfId="0" applyNumberFormat="1" applyFont="1" applyBorder="1" applyAlignment="1">
      <alignment vertical="top"/>
    </xf>
    <xf numFmtId="0" fontId="68" fillId="0" borderId="3" xfId="0" applyFont="1" applyBorder="1" applyAlignment="1">
      <alignment vertical="top"/>
    </xf>
    <xf numFmtId="3" fontId="69" fillId="0" borderId="17" xfId="0" applyNumberFormat="1" applyFont="1" applyBorder="1" applyAlignment="1">
      <alignment horizontal="center" vertical="top" wrapText="1"/>
    </xf>
    <xf numFmtId="3" fontId="61" fillId="0" borderId="0" xfId="0" applyNumberFormat="1" applyFont="1" applyAlignment="1">
      <alignment horizontal="center" vertical="top" wrapText="1"/>
    </xf>
    <xf numFmtId="170" fontId="61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horizontal="left" vertical="top" wrapText="1" shrinkToFit="1"/>
    </xf>
    <xf numFmtId="0" fontId="61" fillId="0" borderId="14" xfId="0" applyFont="1" applyBorder="1" applyAlignment="1">
      <alignment horizontal="center" vertical="top"/>
    </xf>
    <xf numFmtId="49" fontId="61" fillId="0" borderId="3" xfId="0" applyNumberFormat="1" applyFont="1" applyBorder="1" applyAlignment="1">
      <alignment horizontal="left" vertical="top" wrapText="1"/>
    </xf>
    <xf numFmtId="49" fontId="61" fillId="0" borderId="0" xfId="0" applyNumberFormat="1" applyFont="1" applyAlignment="1">
      <alignment horizontal="center" vertical="top" wrapText="1"/>
    </xf>
    <xf numFmtId="49" fontId="61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vertical="top"/>
    </xf>
    <xf numFmtId="177" fontId="61" fillId="0" borderId="3" xfId="0" applyNumberFormat="1" applyFont="1" applyBorder="1" applyAlignment="1">
      <alignment horizontal="center" vertical="top"/>
    </xf>
    <xf numFmtId="3" fontId="61" fillId="0" borderId="3" xfId="0" applyNumberFormat="1" applyFont="1" applyBorder="1" applyAlignment="1">
      <alignment horizontal="right" vertical="top" wrapText="1"/>
    </xf>
    <xf numFmtId="1" fontId="61" fillId="0" borderId="0" xfId="0" applyNumberFormat="1" applyFont="1" applyAlignment="1">
      <alignment horizontal="center" vertical="top"/>
    </xf>
    <xf numFmtId="3" fontId="4" fillId="0" borderId="0" xfId="354" applyNumberFormat="1"/>
    <xf numFmtId="0" fontId="61" fillId="0" borderId="3" xfId="0" applyFont="1" applyBorder="1" applyAlignment="1">
      <alignment horizontal="left" vertical="top"/>
    </xf>
    <xf numFmtId="0" fontId="66" fillId="0" borderId="0" xfId="0" applyFont="1" applyAlignment="1">
      <alignment horizontal="right" vertical="top"/>
    </xf>
    <xf numFmtId="170" fontId="61" fillId="0" borderId="0" xfId="0" applyNumberFormat="1" applyFont="1" applyAlignment="1">
      <alignment vertical="top"/>
    </xf>
    <xf numFmtId="0" fontId="61" fillId="0" borderId="18" xfId="0" applyFont="1" applyBorder="1" applyAlignment="1" applyProtection="1">
      <alignment horizontal="left" vertical="top" wrapText="1"/>
      <protection locked="0"/>
    </xf>
    <xf numFmtId="0" fontId="61" fillId="0" borderId="14" xfId="245" applyFont="1" applyBorder="1" applyAlignment="1">
      <alignment horizontal="center" vertical="top"/>
    </xf>
    <xf numFmtId="0" fontId="61" fillId="0" borderId="18" xfId="245" applyFont="1" applyBorder="1" applyAlignment="1">
      <alignment horizontal="center" vertical="top"/>
    </xf>
    <xf numFmtId="0" fontId="61" fillId="0" borderId="17" xfId="245" applyFont="1" applyBorder="1" applyAlignment="1">
      <alignment horizontal="center" vertical="top"/>
    </xf>
    <xf numFmtId="0" fontId="61" fillId="0" borderId="17" xfId="0" applyFont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7" fillId="0" borderId="0" xfId="0" applyFont="1" applyAlignment="1" applyProtection="1">
      <alignment horizontal="center" vertical="top"/>
      <protection locked="0"/>
    </xf>
    <xf numFmtId="0" fontId="61" fillId="0" borderId="13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6" fillId="0" borderId="0" xfId="0" applyFont="1" applyAlignment="1" applyProtection="1">
      <alignment horizontal="center" vertical="top"/>
      <protection locked="0"/>
    </xf>
    <xf numFmtId="0" fontId="66" fillId="0" borderId="0" xfId="0" applyFont="1" applyAlignment="1">
      <alignment horizontal="center" vertical="top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66" fillId="29" borderId="14" xfId="0" applyFont="1" applyFill="1" applyBorder="1" applyAlignment="1">
      <alignment horizontal="center" vertical="top" wrapText="1"/>
    </xf>
    <xf numFmtId="0" fontId="66" fillId="29" borderId="18" xfId="0" applyFont="1" applyFill="1" applyBorder="1" applyAlignment="1">
      <alignment horizontal="center" vertical="top" wrapText="1"/>
    </xf>
    <xf numFmtId="0" fontId="66" fillId="29" borderId="17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4" xfId="237" applyFont="1" applyBorder="1" applyAlignment="1">
      <alignment horizontal="center" vertical="top" wrapText="1"/>
    </xf>
    <xf numFmtId="0" fontId="66" fillId="0" borderId="18" xfId="237" applyFont="1" applyBorder="1" applyAlignment="1">
      <alignment horizontal="center" vertical="top" wrapText="1"/>
    </xf>
    <xf numFmtId="0" fontId="66" fillId="0" borderId="17" xfId="237" applyFont="1" applyBorder="1" applyAlignment="1">
      <alignment horizontal="center" vertical="top" wrapText="1"/>
    </xf>
    <xf numFmtId="0" fontId="66" fillId="0" borderId="14" xfId="0" applyFont="1" applyBorder="1" applyAlignment="1" applyProtection="1">
      <alignment horizontal="center" vertical="top" wrapText="1"/>
      <protection locked="0"/>
    </xf>
    <xf numFmtId="0" fontId="66" fillId="0" borderId="18" xfId="0" applyFont="1" applyBorder="1" applyAlignment="1" applyProtection="1">
      <alignment horizontal="center" vertical="top" wrapText="1"/>
      <protection locked="0"/>
    </xf>
    <xf numFmtId="0" fontId="66" fillId="0" borderId="0" xfId="0" applyFont="1" applyAlignment="1">
      <alignment horizontal="center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75" fillId="0" borderId="3" xfId="0" applyFont="1" applyBorder="1" applyAlignment="1">
      <alignment horizontal="center" vertical="top"/>
    </xf>
    <xf numFmtId="0" fontId="75" fillId="0" borderId="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right" vertical="top" wrapText="1"/>
    </xf>
    <xf numFmtId="0" fontId="75" fillId="0" borderId="20" xfId="0" applyFont="1" applyBorder="1" applyAlignment="1">
      <alignment horizontal="right" vertical="top" wrapText="1"/>
    </xf>
    <xf numFmtId="0" fontId="66" fillId="0" borderId="14" xfId="0" applyFont="1" applyBorder="1" applyAlignment="1">
      <alignment horizontal="left" vertical="top"/>
    </xf>
    <xf numFmtId="0" fontId="66" fillId="0" borderId="18" xfId="0" applyFont="1" applyBorder="1" applyAlignment="1">
      <alignment horizontal="left" vertical="top"/>
    </xf>
    <xf numFmtId="0" fontId="66" fillId="0" borderId="17" xfId="0" applyFont="1" applyBorder="1" applyAlignment="1">
      <alignment horizontal="left" vertical="top"/>
    </xf>
    <xf numFmtId="0" fontId="66" fillId="0" borderId="14" xfId="245" applyFont="1" applyBorder="1" applyAlignment="1">
      <alignment horizontal="center" vertical="top" wrapText="1"/>
    </xf>
    <xf numFmtId="0" fontId="66" fillId="0" borderId="18" xfId="245" applyFont="1" applyBorder="1" applyAlignment="1">
      <alignment horizontal="center" vertical="top" wrapText="1"/>
    </xf>
    <xf numFmtId="0" fontId="66" fillId="0" borderId="17" xfId="245" applyFont="1" applyBorder="1" applyAlignment="1">
      <alignment horizontal="center" vertical="top" wrapText="1"/>
    </xf>
    <xf numFmtId="0" fontId="66" fillId="0" borderId="0" xfId="245" applyFont="1" applyAlignment="1">
      <alignment horizontal="center" vertical="top"/>
    </xf>
    <xf numFmtId="0" fontId="61" fillId="0" borderId="3" xfId="245" applyFont="1" applyBorder="1" applyAlignment="1">
      <alignment horizontal="center" vertical="top"/>
    </xf>
    <xf numFmtId="0" fontId="61" fillId="0" borderId="3" xfId="245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 shrinkToFit="1"/>
    </xf>
    <xf numFmtId="3" fontId="61" fillId="0" borderId="0" xfId="0" applyNumberFormat="1" applyFont="1" applyAlignment="1" applyProtection="1">
      <alignment vertical="top"/>
      <protection locked="0"/>
    </xf>
    <xf numFmtId="0" fontId="61" fillId="0" borderId="0" xfId="0" applyFont="1" applyAlignment="1" applyProtection="1">
      <alignment vertical="top"/>
      <protection locked="0"/>
    </xf>
    <xf numFmtId="0" fontId="61" fillId="0" borderId="15" xfId="0" applyFont="1" applyBorder="1" applyAlignment="1">
      <alignment vertical="top"/>
    </xf>
    <xf numFmtId="0" fontId="61" fillId="0" borderId="0" xfId="0" applyFont="1" applyAlignment="1">
      <alignment horizontal="center" vertical="top"/>
    </xf>
    <xf numFmtId="0" fontId="66" fillId="0" borderId="0" xfId="237" applyFont="1" applyAlignment="1">
      <alignment horizontal="center" vertical="top" wrapText="1"/>
    </xf>
    <xf numFmtId="0" fontId="61" fillId="0" borderId="13" xfId="237" applyFont="1" applyBorder="1" applyAlignment="1">
      <alignment horizontal="center" vertical="top" wrapText="1"/>
    </xf>
    <xf numFmtId="0" fontId="61" fillId="0" borderId="19" xfId="237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3" fontId="61" fillId="0" borderId="3" xfId="0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/>
    </xf>
    <xf numFmtId="0" fontId="61" fillId="0" borderId="23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4" xfId="0" applyFont="1" applyBorder="1" applyAlignment="1" applyProtection="1">
      <alignment horizontal="left" vertical="top" wrapText="1"/>
      <protection locked="0"/>
    </xf>
    <xf numFmtId="0" fontId="61" fillId="0" borderId="14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49" fontId="61" fillId="0" borderId="14" xfId="0" applyNumberFormat="1" applyFont="1" applyBorder="1" applyAlignment="1">
      <alignment horizontal="left" vertical="top" wrapText="1"/>
    </xf>
    <xf numFmtId="49" fontId="61" fillId="0" borderId="17" xfId="0" applyNumberFormat="1" applyFont="1" applyBorder="1" applyAlignment="1">
      <alignment horizontal="left" vertical="top" wrapText="1"/>
    </xf>
    <xf numFmtId="170" fontId="61" fillId="0" borderId="3" xfId="0" applyNumberFormat="1" applyFont="1" applyBorder="1" applyAlignment="1">
      <alignment horizontal="center" vertical="top" wrapText="1"/>
    </xf>
    <xf numFmtId="3" fontId="61" fillId="0" borderId="14" xfId="0" applyNumberFormat="1" applyFont="1" applyBorder="1" applyAlignment="1">
      <alignment horizontal="center" vertical="top" wrapText="1"/>
    </xf>
    <xf numFmtId="3" fontId="61" fillId="0" borderId="17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/>
    </xf>
    <xf numFmtId="0" fontId="61" fillId="0" borderId="17" xfId="0" applyFont="1" applyBorder="1" applyAlignment="1">
      <alignment horizontal="center" vertical="top"/>
    </xf>
    <xf numFmtId="0" fontId="61" fillId="0" borderId="3" xfId="0" applyFont="1" applyBorder="1" applyAlignment="1">
      <alignment horizontal="left" vertical="top" wrapText="1"/>
    </xf>
    <xf numFmtId="49" fontId="61" fillId="0" borderId="3" xfId="0" applyNumberFormat="1" applyFont="1" applyBorder="1" applyAlignment="1">
      <alignment horizontal="left" vertical="top" wrapText="1"/>
    </xf>
    <xf numFmtId="170" fontId="61" fillId="0" borderId="14" xfId="0" applyNumberFormat="1" applyFont="1" applyBorder="1" applyAlignment="1">
      <alignment horizontal="center" vertical="top" wrapText="1"/>
    </xf>
    <xf numFmtId="170" fontId="61" fillId="0" borderId="17" xfId="0" applyNumberFormat="1" applyFont="1" applyBorder="1" applyAlignment="1">
      <alignment horizontal="center" vertical="top" wrapText="1"/>
    </xf>
    <xf numFmtId="3" fontId="61" fillId="0" borderId="18" xfId="0" applyNumberFormat="1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/>
    </xf>
    <xf numFmtId="49" fontId="61" fillId="0" borderId="14" xfId="0" applyNumberFormat="1" applyFont="1" applyBorder="1" applyAlignment="1">
      <alignment horizontal="center" vertical="top" wrapText="1"/>
    </xf>
    <xf numFmtId="49" fontId="61" fillId="0" borderId="17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66" fillId="0" borderId="15" xfId="0" applyFont="1" applyBorder="1" applyAlignment="1">
      <alignment horizontal="center" vertical="top"/>
    </xf>
    <xf numFmtId="49" fontId="61" fillId="0" borderId="18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justify" vertical="top" wrapText="1" shrinkToFit="1"/>
    </xf>
    <xf numFmtId="49" fontId="61" fillId="0" borderId="16" xfId="0" applyNumberFormat="1" applyFont="1" applyBorder="1" applyAlignment="1">
      <alignment horizontal="right" vertical="top" wrapText="1"/>
    </xf>
    <xf numFmtId="49" fontId="61" fillId="0" borderId="0" xfId="0" applyNumberFormat="1" applyFont="1" applyAlignment="1">
      <alignment horizontal="right" vertical="top" wrapText="1"/>
    </xf>
    <xf numFmtId="0" fontId="80" fillId="0" borderId="15" xfId="0" applyFont="1" applyBorder="1" applyAlignment="1" applyProtection="1">
      <alignment horizontal="center" vertical="center" wrapText="1"/>
      <protection locked="0"/>
    </xf>
    <xf numFmtId="0" fontId="82" fillId="29" borderId="15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16" xfId="0" applyFont="1" applyBorder="1" applyAlignment="1" applyProtection="1">
      <alignment horizontal="left" vertical="center"/>
      <protection locked="0"/>
    </xf>
    <xf numFmtId="0" fontId="73" fillId="29" borderId="14" xfId="0" applyFont="1" applyFill="1" applyBorder="1" applyAlignment="1">
      <alignment horizontal="left" vertical="center" wrapText="1"/>
    </xf>
    <xf numFmtId="0" fontId="73" fillId="29" borderId="18" xfId="0" applyFont="1" applyFill="1" applyBorder="1" applyAlignment="1">
      <alignment horizontal="left" vertical="center" wrapText="1"/>
    </xf>
    <xf numFmtId="0" fontId="73" fillId="29" borderId="17" xfId="0" applyFont="1" applyFill="1" applyBorder="1" applyAlignment="1">
      <alignment horizontal="left" vertical="center" wrapText="1"/>
    </xf>
    <xf numFmtId="0" fontId="73" fillId="0" borderId="14" xfId="0" applyFont="1" applyBorder="1" applyAlignment="1">
      <alignment horizontal="center" vertical="center" wrapText="1" shrinkToFit="1"/>
    </xf>
    <xf numFmtId="0" fontId="73" fillId="0" borderId="17" xfId="0" applyFont="1" applyBorder="1" applyAlignment="1">
      <alignment horizontal="center" vertical="center" wrapText="1" shrinkToFit="1"/>
    </xf>
    <xf numFmtId="0" fontId="73" fillId="0" borderId="13" xfId="0" applyFont="1" applyBorder="1" applyAlignment="1">
      <alignment horizontal="center" vertical="center" wrapText="1" shrinkToFit="1"/>
    </xf>
    <xf numFmtId="0" fontId="73" fillId="0" borderId="20" xfId="0" applyFont="1" applyBorder="1" applyAlignment="1">
      <alignment horizontal="center" vertical="center" wrapText="1" shrinkToFit="1"/>
    </xf>
    <xf numFmtId="0" fontId="73" fillId="0" borderId="19" xfId="0" applyFont="1" applyBorder="1" applyAlignment="1">
      <alignment horizontal="center" vertical="center" wrapText="1" shrinkToFit="1"/>
    </xf>
    <xf numFmtId="0" fontId="73" fillId="0" borderId="13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2" fontId="61" fillId="0" borderId="13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</cellXfs>
  <cellStyles count="356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Обычный_касса" xfId="35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" xfId="355" builtinId="5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" xfId="323" builtinId="3"/>
    <cellStyle name="Финансовый 2" xfId="324" xr:uid="{00000000-0005-0000-0000-000046010000}"/>
    <cellStyle name="Финансовый 2 10" xfId="325" xr:uid="{00000000-0005-0000-0000-000047010000}"/>
    <cellStyle name="Финансовый 2 11" xfId="326" xr:uid="{00000000-0005-0000-0000-000048010000}"/>
    <cellStyle name="Финансовый 2 12" xfId="327" xr:uid="{00000000-0005-0000-0000-000049010000}"/>
    <cellStyle name="Финансовый 2 13" xfId="328" xr:uid="{00000000-0005-0000-0000-00004A010000}"/>
    <cellStyle name="Финансовый 2 14" xfId="329" xr:uid="{00000000-0005-0000-0000-00004B010000}"/>
    <cellStyle name="Финансовый 2 15" xfId="330" xr:uid="{00000000-0005-0000-0000-00004C010000}"/>
    <cellStyle name="Финансовый 2 16" xfId="331" xr:uid="{00000000-0005-0000-0000-00004D010000}"/>
    <cellStyle name="Финансовый 2 17" xfId="332" xr:uid="{00000000-0005-0000-0000-00004E010000}"/>
    <cellStyle name="Финансовый 2 2" xfId="333" xr:uid="{00000000-0005-0000-0000-00004F010000}"/>
    <cellStyle name="Финансовый 2 3" xfId="334" xr:uid="{00000000-0005-0000-0000-000050010000}"/>
    <cellStyle name="Финансовый 2 4" xfId="335" xr:uid="{00000000-0005-0000-0000-000051010000}"/>
    <cellStyle name="Финансовый 2 5" xfId="336" xr:uid="{00000000-0005-0000-0000-000052010000}"/>
    <cellStyle name="Финансовый 2 6" xfId="337" xr:uid="{00000000-0005-0000-0000-000053010000}"/>
    <cellStyle name="Финансовый 2 7" xfId="338" xr:uid="{00000000-0005-0000-0000-000054010000}"/>
    <cellStyle name="Финансовый 2 8" xfId="339" xr:uid="{00000000-0005-0000-0000-000055010000}"/>
    <cellStyle name="Финансовый 2 9" xfId="340" xr:uid="{00000000-0005-0000-0000-000056010000}"/>
    <cellStyle name="Финансовый 3" xfId="341" xr:uid="{00000000-0005-0000-0000-000057010000}"/>
    <cellStyle name="Финансовый 3 2" xfId="342" xr:uid="{00000000-0005-0000-0000-000058010000}"/>
    <cellStyle name="Финансовый 4" xfId="343" xr:uid="{00000000-0005-0000-0000-000059010000}"/>
    <cellStyle name="Финансовый 4 2" xfId="344" xr:uid="{00000000-0005-0000-0000-00005A010000}"/>
    <cellStyle name="Финансовый 4 3" xfId="345" xr:uid="{00000000-0005-0000-0000-00005B010000}"/>
    <cellStyle name="Финансовый 5" xfId="346" xr:uid="{00000000-0005-0000-0000-00005C010000}"/>
    <cellStyle name="Финансовый 6" xfId="347" xr:uid="{00000000-0005-0000-0000-00005D010000}"/>
    <cellStyle name="Финансовый 7" xfId="348" xr:uid="{00000000-0005-0000-0000-00005E010000}"/>
    <cellStyle name="Хороший 2" xfId="349" xr:uid="{00000000-0005-0000-0000-00005F010000}"/>
    <cellStyle name="Хороший 3" xfId="350" xr:uid="{00000000-0005-0000-0000-000060010000}"/>
    <cellStyle name="числовой" xfId="351" xr:uid="{00000000-0005-0000-0000-000061010000}"/>
    <cellStyle name="Ю" xfId="352" xr:uid="{00000000-0005-0000-0000-000062010000}"/>
    <cellStyle name="Ю-FreeSet_10" xfId="353" xr:uid="{00000000-0005-0000-0000-00006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 bwMode="auto">
        <a:xfrm>
          <a:off x="1352550" y="293084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24" name="Line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 bwMode="auto">
        <a:xfrm>
          <a:off x="6096000" y="293084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25" name="Lin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 bwMode="auto">
        <a:xfrm>
          <a:off x="10915650" y="293084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145</xdr:row>
      <xdr:rowOff>0</xdr:rowOff>
    </xdr:from>
    <xdr:to>
      <xdr:col>0</xdr:col>
      <xdr:colOff>4972050</xdr:colOff>
      <xdr:row>145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ShapeType="1"/>
        </xdr:cNvSpPr>
      </xdr:nvSpPr>
      <xdr:spPr bwMode="auto">
        <a:xfrm>
          <a:off x="1295400" y="49329975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145</xdr:row>
      <xdr:rowOff>0</xdr:rowOff>
    </xdr:from>
    <xdr:to>
      <xdr:col>4</xdr:col>
      <xdr:colOff>552450</xdr:colOff>
      <xdr:row>145</xdr:row>
      <xdr:rowOff>0</xdr:rowOff>
    </xdr:to>
    <xdr:sp macro="" textlink="">
      <xdr:nvSpPr>
        <xdr:cNvPr id="1188" name="Lin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ShapeType="1"/>
        </xdr:cNvSpPr>
      </xdr:nvSpPr>
      <xdr:spPr bwMode="auto">
        <a:xfrm>
          <a:off x="5810250" y="493299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145</xdr:row>
      <xdr:rowOff>0</xdr:rowOff>
    </xdr:from>
    <xdr:to>
      <xdr:col>7</xdr:col>
      <xdr:colOff>1619250</xdr:colOff>
      <xdr:row>145</xdr:row>
      <xdr:rowOff>0</xdr:rowOff>
    </xdr:to>
    <xdr:sp macro="" textlink="">
      <xdr:nvSpPr>
        <xdr:cNvPr id="1189" name="Line 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ShapeType="1"/>
        </xdr:cNvSpPr>
      </xdr:nvSpPr>
      <xdr:spPr bwMode="auto">
        <a:xfrm>
          <a:off x="9610725" y="493299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ShapeType="1"/>
        </xdr:cNvSpPr>
      </xdr:nvSpPr>
      <xdr:spPr bwMode="auto">
        <a:xfrm>
          <a:off x="1228725" y="17335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05" name="Line 2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ShapeType="1"/>
        </xdr:cNvSpPr>
      </xdr:nvSpPr>
      <xdr:spPr bwMode="auto">
        <a:xfrm>
          <a:off x="5295900" y="173355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06" name="Line 3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ShapeType="1"/>
        </xdr:cNvSpPr>
      </xdr:nvSpPr>
      <xdr:spPr bwMode="auto">
        <a:xfrm>
          <a:off x="8439150" y="173355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1295400</xdr:colOff>
      <xdr:row>43</xdr:row>
      <xdr:rowOff>0</xdr:rowOff>
    </xdr:from>
    <xdr:to>
      <xdr:col>0</xdr:col>
      <xdr:colOff>4276725</xdr:colOff>
      <xdr:row>43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ShapeType="1"/>
        </xdr:cNvSpPr>
      </xdr:nvSpPr>
      <xdr:spPr bwMode="auto">
        <a:xfrm>
          <a:off x="1295400" y="17335500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43</xdr:row>
      <xdr:rowOff>0</xdr:rowOff>
    </xdr:from>
    <xdr:to>
      <xdr:col>4</xdr:col>
      <xdr:colOff>552450</xdr:colOff>
      <xdr:row>43</xdr:row>
      <xdr:rowOff>0</xdr:rowOff>
    </xdr:to>
    <xdr:sp macro="" textlink="">
      <xdr:nvSpPr>
        <xdr:cNvPr id="2308" name="Line 2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ShapeType="1"/>
        </xdr:cNvSpPr>
      </xdr:nvSpPr>
      <xdr:spPr bwMode="auto">
        <a:xfrm>
          <a:off x="5057775" y="173355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981075</xdr:rowOff>
    </xdr:from>
    <xdr:to>
      <xdr:col>6</xdr:col>
      <xdr:colOff>200025</xdr:colOff>
      <xdr:row>42</xdr:row>
      <xdr:rowOff>981075</xdr:rowOff>
    </xdr:to>
    <xdr:sp macro="" textlink="">
      <xdr:nvSpPr>
        <xdr:cNvPr id="2309" name="Line 3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ShapeType="1"/>
        </xdr:cNvSpPr>
      </xdr:nvSpPr>
      <xdr:spPr bwMode="auto">
        <a:xfrm>
          <a:off x="8286750" y="17325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ShapeType="1"/>
        </xdr:cNvSpPr>
      </xdr:nvSpPr>
      <xdr:spPr bwMode="auto">
        <a:xfrm>
          <a:off x="1019175" y="249174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283" name="Line 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ShapeType="1"/>
        </xdr:cNvSpPr>
      </xdr:nvSpPr>
      <xdr:spPr bwMode="auto">
        <a:xfrm>
          <a:off x="4810125" y="249174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0</xdr:colOff>
      <xdr:row>88</xdr:row>
      <xdr:rowOff>0</xdr:rowOff>
    </xdr:to>
    <xdr:sp macro="" textlink="">
      <xdr:nvSpPr>
        <xdr:cNvPr id="4284" name="Line 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ShapeType="1"/>
        </xdr:cNvSpPr>
      </xdr:nvSpPr>
      <xdr:spPr bwMode="auto">
        <a:xfrm>
          <a:off x="7477125" y="249174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91</xdr:row>
      <xdr:rowOff>0</xdr:rowOff>
    </xdr:from>
    <xdr:to>
      <xdr:col>0</xdr:col>
      <xdr:colOff>3971925</xdr:colOff>
      <xdr:row>91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019175" y="2443162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91</xdr:row>
      <xdr:rowOff>0</xdr:rowOff>
    </xdr:from>
    <xdr:to>
      <xdr:col>3</xdr:col>
      <xdr:colOff>723900</xdr:colOff>
      <xdr:row>91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733925" y="24431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6305550" y="244316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00000000-0008-0000-0500-0000BA140000}"/>
            </a:ext>
          </a:extLst>
        </xdr:cNvPr>
        <xdr:cNvSpPr>
          <a:spLocks noChangeShapeType="1"/>
        </xdr:cNvSpPr>
      </xdr:nvSpPr>
      <xdr:spPr bwMode="auto">
        <a:xfrm>
          <a:off x="1019175" y="80200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07" name="Line 2">
          <a:extLst>
            <a:ext uri="{FF2B5EF4-FFF2-40B4-BE49-F238E27FC236}">
              <a16:creationId xmlns:a16="http://schemas.microsoft.com/office/drawing/2014/main" id="{00000000-0008-0000-0500-0000BB140000}"/>
            </a:ext>
          </a:extLst>
        </xdr:cNvPr>
        <xdr:cNvSpPr>
          <a:spLocks noChangeShapeType="1"/>
        </xdr:cNvSpPr>
      </xdr:nvSpPr>
      <xdr:spPr bwMode="auto">
        <a:xfrm>
          <a:off x="5172075" y="802005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08" name="Line 3">
          <a:extLst>
            <a:ext uri="{FF2B5EF4-FFF2-40B4-BE49-F238E27FC236}">
              <a16:creationId xmlns:a16="http://schemas.microsoft.com/office/drawing/2014/main" id="{00000000-0008-0000-0500-0000BC140000}"/>
            </a:ext>
          </a:extLst>
        </xdr:cNvPr>
        <xdr:cNvSpPr>
          <a:spLocks noChangeShapeType="1"/>
        </xdr:cNvSpPr>
      </xdr:nvSpPr>
      <xdr:spPr bwMode="auto">
        <a:xfrm>
          <a:off x="8391525" y="802005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22</xdr:row>
      <xdr:rowOff>0</xdr:rowOff>
    </xdr:from>
    <xdr:to>
      <xdr:col>0</xdr:col>
      <xdr:colOff>5810250</xdr:colOff>
      <xdr:row>22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00000000-0008-0000-0600-000005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22</xdr:row>
      <xdr:rowOff>0</xdr:rowOff>
    </xdr:from>
    <xdr:to>
      <xdr:col>3</xdr:col>
      <xdr:colOff>704850</xdr:colOff>
      <xdr:row>22</xdr:row>
      <xdr:rowOff>0</xdr:rowOff>
    </xdr:to>
    <xdr:sp macro="" textlink="">
      <xdr:nvSpPr>
        <xdr:cNvPr id="6406" name="Line 2">
          <a:extLst>
            <a:ext uri="{FF2B5EF4-FFF2-40B4-BE49-F238E27FC236}">
              <a16:creationId xmlns:a16="http://schemas.microsoft.com/office/drawing/2014/main" id="{00000000-0008-0000-0600-000006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22</xdr:row>
      <xdr:rowOff>0</xdr:rowOff>
    </xdr:from>
    <xdr:to>
      <xdr:col>5</xdr:col>
      <xdr:colOff>2305050</xdr:colOff>
      <xdr:row>22</xdr:row>
      <xdr:rowOff>0</xdr:rowOff>
    </xdr:to>
    <xdr:sp macro="" textlink="">
      <xdr:nvSpPr>
        <xdr:cNvPr id="6407" name="Line 3">
          <a:extLst>
            <a:ext uri="{FF2B5EF4-FFF2-40B4-BE49-F238E27FC236}">
              <a16:creationId xmlns:a16="http://schemas.microsoft.com/office/drawing/2014/main" id="{00000000-0008-0000-0600-000007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1485900</xdr:colOff>
      <xdr:row>22</xdr:row>
      <xdr:rowOff>0</xdr:rowOff>
    </xdr:from>
    <xdr:to>
      <xdr:col>0</xdr:col>
      <xdr:colOff>5810250</xdr:colOff>
      <xdr:row>22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00000000-0008-0000-0600-000009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22</xdr:row>
      <xdr:rowOff>0</xdr:rowOff>
    </xdr:from>
    <xdr:to>
      <xdr:col>3</xdr:col>
      <xdr:colOff>704850</xdr:colOff>
      <xdr:row>22</xdr:row>
      <xdr:rowOff>0</xdr:rowOff>
    </xdr:to>
    <xdr:sp macro="" textlink="">
      <xdr:nvSpPr>
        <xdr:cNvPr id="6410" name="Line 2">
          <a:extLst>
            <a:ext uri="{FF2B5EF4-FFF2-40B4-BE49-F238E27FC236}">
              <a16:creationId xmlns:a16="http://schemas.microsoft.com/office/drawing/2014/main" id="{00000000-0008-0000-0600-00000A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22</xdr:row>
      <xdr:rowOff>0</xdr:rowOff>
    </xdr:from>
    <xdr:to>
      <xdr:col>5</xdr:col>
      <xdr:colOff>2305050</xdr:colOff>
      <xdr:row>22</xdr:row>
      <xdr:rowOff>0</xdr:rowOff>
    </xdr:to>
    <xdr:sp macro="" textlink="">
      <xdr:nvSpPr>
        <xdr:cNvPr id="6411" name="Line 3">
          <a:extLst>
            <a:ext uri="{FF2B5EF4-FFF2-40B4-BE49-F238E27FC236}">
              <a16:creationId xmlns:a16="http://schemas.microsoft.com/office/drawing/2014/main" id="{00000000-0008-0000-0600-00000B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3"/>
    <pageSetUpPr fitToPage="1"/>
  </sheetPr>
  <dimension ref="A1:Q248"/>
  <sheetViews>
    <sheetView view="pageBreakPreview" zoomScaleNormal="60" zoomScaleSheetLayoutView="100" workbookViewId="0">
      <selection activeCell="A3" sqref="A3"/>
    </sheetView>
  </sheetViews>
  <sheetFormatPr defaultColWidth="9.1796875" defaultRowHeight="15.5"/>
  <cols>
    <col min="1" max="1" width="53.81640625" style="7" customWidth="1"/>
    <col min="2" max="2" width="10.1796875" style="37" customWidth="1"/>
    <col min="3" max="3" width="15.453125" style="37" customWidth="1"/>
    <col min="4" max="4" width="15.54296875" style="37" customWidth="1"/>
    <col min="5" max="5" width="14.7265625" style="37" customWidth="1"/>
    <col min="6" max="6" width="16.26953125" style="37" customWidth="1"/>
    <col min="7" max="7" width="17.1796875" style="37" customWidth="1"/>
    <col min="8" max="8" width="10" style="7" customWidth="1"/>
    <col min="9" max="9" width="9.54296875" style="7" customWidth="1"/>
    <col min="10" max="16384" width="9.1796875" style="7"/>
  </cols>
  <sheetData>
    <row r="1" spans="1:11">
      <c r="A1" s="3"/>
      <c r="B1" s="4"/>
      <c r="C1" s="5"/>
      <c r="D1" s="3"/>
      <c r="E1" s="3" t="s">
        <v>235</v>
      </c>
      <c r="F1" s="3"/>
      <c r="G1" s="3"/>
      <c r="H1" s="6"/>
      <c r="I1" s="6"/>
      <c r="J1" s="6"/>
      <c r="K1" s="6"/>
    </row>
    <row r="2" spans="1:11" ht="15.5" customHeight="1">
      <c r="A2" s="8"/>
      <c r="B2" s="5"/>
      <c r="C2" s="5"/>
      <c r="D2" s="9"/>
      <c r="E2" s="285" t="s">
        <v>498</v>
      </c>
      <c r="F2" s="285"/>
      <c r="G2" s="285"/>
      <c r="H2" s="6"/>
      <c r="I2" s="6"/>
      <c r="J2" s="6"/>
      <c r="K2" s="6"/>
    </row>
    <row r="3" spans="1:11">
      <c r="A3" s="5"/>
      <c r="B3" s="5"/>
      <c r="C3" s="9"/>
      <c r="D3" s="9"/>
      <c r="E3" s="285"/>
      <c r="F3" s="285"/>
      <c r="G3" s="285"/>
      <c r="H3" s="6"/>
      <c r="I3" s="6"/>
      <c r="J3" s="6"/>
      <c r="K3" s="6"/>
    </row>
    <row r="4" spans="1:11">
      <c r="A4" s="5"/>
      <c r="B4" s="5"/>
      <c r="C4" s="9"/>
      <c r="D4" s="9"/>
      <c r="E4" s="285"/>
      <c r="F4" s="285"/>
      <c r="G4" s="285"/>
      <c r="H4" s="6"/>
      <c r="I4" s="6"/>
      <c r="J4" s="6"/>
      <c r="K4" s="6"/>
    </row>
    <row r="5" spans="1:11">
      <c r="A5" s="3"/>
      <c r="B5" s="5"/>
      <c r="C5" s="5"/>
      <c r="D5" s="5"/>
      <c r="E5" s="286"/>
      <c r="F5" s="286"/>
      <c r="G5" s="286"/>
    </row>
    <row r="6" spans="1:11">
      <c r="A6" s="10"/>
      <c r="B6" s="271"/>
      <c r="C6" s="271"/>
      <c r="D6" s="271"/>
      <c r="E6" s="175"/>
      <c r="F6" s="11" t="s">
        <v>580</v>
      </c>
      <c r="G6" s="12" t="s">
        <v>256</v>
      </c>
    </row>
    <row r="7" spans="1:11" ht="55.5" customHeight="1">
      <c r="A7" s="13" t="s">
        <v>14</v>
      </c>
      <c r="B7" s="271" t="s">
        <v>466</v>
      </c>
      <c r="C7" s="271"/>
      <c r="D7" s="271"/>
      <c r="E7" s="176"/>
      <c r="F7" s="14" t="s">
        <v>130</v>
      </c>
      <c r="G7" s="12">
        <v>21926724</v>
      </c>
    </row>
    <row r="8" spans="1:11" ht="15.5" customHeight="1">
      <c r="A8" s="10" t="s">
        <v>15</v>
      </c>
      <c r="B8" s="271" t="s">
        <v>374</v>
      </c>
      <c r="C8" s="271"/>
      <c r="D8" s="271"/>
      <c r="E8" s="175"/>
      <c r="F8" s="14" t="s">
        <v>129</v>
      </c>
      <c r="G8" s="12">
        <v>150</v>
      </c>
    </row>
    <row r="9" spans="1:11">
      <c r="A9" s="10" t="s">
        <v>19</v>
      </c>
      <c r="B9" s="271" t="s">
        <v>375</v>
      </c>
      <c r="C9" s="271"/>
      <c r="D9" s="271"/>
      <c r="E9" s="175"/>
      <c r="F9" s="14" t="s">
        <v>128</v>
      </c>
      <c r="G9" s="12">
        <v>1210136600</v>
      </c>
    </row>
    <row r="10" spans="1:11" ht="30.75" customHeight="1">
      <c r="A10" s="13" t="s">
        <v>467</v>
      </c>
      <c r="B10" s="271" t="s">
        <v>376</v>
      </c>
      <c r="C10" s="271"/>
      <c r="D10" s="271"/>
      <c r="E10" s="176"/>
      <c r="F10" s="14" t="s">
        <v>9</v>
      </c>
      <c r="G10" s="12">
        <v>1009</v>
      </c>
    </row>
    <row r="11" spans="1:11" ht="35.25" customHeight="1">
      <c r="A11" s="13" t="s">
        <v>17</v>
      </c>
      <c r="B11" s="271" t="s">
        <v>378</v>
      </c>
      <c r="C11" s="271"/>
      <c r="D11" s="271"/>
      <c r="E11" s="176"/>
      <c r="F11" s="14" t="s">
        <v>8</v>
      </c>
      <c r="G11" s="12">
        <v>90310</v>
      </c>
    </row>
    <row r="12" spans="1:11" ht="33.75" customHeight="1">
      <c r="A12" s="13" t="s">
        <v>16</v>
      </c>
      <c r="B12" s="271" t="s">
        <v>377</v>
      </c>
      <c r="C12" s="271"/>
      <c r="D12" s="271"/>
      <c r="E12" s="176"/>
      <c r="F12" s="14" t="s">
        <v>10</v>
      </c>
      <c r="G12" s="12" t="s">
        <v>383</v>
      </c>
    </row>
    <row r="13" spans="1:11" ht="15.5" customHeight="1">
      <c r="A13" s="13" t="s">
        <v>379</v>
      </c>
      <c r="B13" s="271"/>
      <c r="C13" s="271"/>
      <c r="D13" s="271"/>
      <c r="E13" s="271" t="s">
        <v>189</v>
      </c>
      <c r="F13" s="275"/>
      <c r="G13" s="15"/>
    </row>
    <row r="14" spans="1:11" ht="15.5" customHeight="1">
      <c r="A14" s="13" t="s">
        <v>20</v>
      </c>
      <c r="B14" s="271" t="s">
        <v>380</v>
      </c>
      <c r="C14" s="271"/>
      <c r="D14" s="271"/>
      <c r="E14" s="271" t="s">
        <v>190</v>
      </c>
      <c r="F14" s="275"/>
      <c r="G14" s="15"/>
    </row>
    <row r="15" spans="1:11">
      <c r="A15" s="13" t="s">
        <v>106</v>
      </c>
      <c r="B15" s="271">
        <v>145</v>
      </c>
      <c r="C15" s="271"/>
      <c r="D15" s="271"/>
      <c r="E15" s="16"/>
      <c r="F15" s="16"/>
      <c r="G15" s="16"/>
    </row>
    <row r="16" spans="1:11" ht="15.5" customHeight="1">
      <c r="A16" s="10" t="s">
        <v>11</v>
      </c>
      <c r="B16" s="271" t="s">
        <v>381</v>
      </c>
      <c r="C16" s="271"/>
      <c r="D16" s="271"/>
      <c r="E16" s="17"/>
      <c r="F16" s="17"/>
      <c r="G16" s="17"/>
    </row>
    <row r="17" spans="1:17">
      <c r="A17" s="13" t="s">
        <v>12</v>
      </c>
      <c r="B17" s="271"/>
      <c r="C17" s="271"/>
      <c r="D17" s="271"/>
      <c r="E17" s="16"/>
      <c r="F17" s="16"/>
      <c r="G17" s="16"/>
    </row>
    <row r="18" spans="1:17" ht="15.5" customHeight="1">
      <c r="A18" s="10" t="s">
        <v>13</v>
      </c>
      <c r="B18" s="271" t="s">
        <v>382</v>
      </c>
      <c r="C18" s="271"/>
      <c r="D18" s="271"/>
      <c r="E18" s="17"/>
      <c r="F18" s="17"/>
      <c r="G18" s="17"/>
    </row>
    <row r="19" spans="1:17">
      <c r="A19" s="18"/>
      <c r="B19" s="3"/>
      <c r="C19" s="3"/>
      <c r="D19" s="3"/>
      <c r="E19" s="3"/>
      <c r="F19" s="3"/>
      <c r="G19" s="3"/>
    </row>
    <row r="20" spans="1:17">
      <c r="A20" s="281" t="s">
        <v>236</v>
      </c>
      <c r="B20" s="281"/>
      <c r="C20" s="281"/>
      <c r="D20" s="281"/>
      <c r="E20" s="281"/>
      <c r="F20" s="281"/>
      <c r="G20" s="281"/>
    </row>
    <row r="21" spans="1:17">
      <c r="A21" s="281" t="s">
        <v>363</v>
      </c>
      <c r="B21" s="281"/>
      <c r="C21" s="281"/>
      <c r="D21" s="281"/>
      <c r="E21" s="281"/>
      <c r="F21" s="281"/>
      <c r="G21" s="281"/>
    </row>
    <row r="22" spans="1:17">
      <c r="A22" s="278" t="s">
        <v>579</v>
      </c>
      <c r="B22" s="278"/>
      <c r="C22" s="278"/>
      <c r="D22" s="278"/>
      <c r="E22" s="278"/>
      <c r="F22" s="278"/>
      <c r="G22" s="278"/>
    </row>
    <row r="23" spans="1:17">
      <c r="A23" s="284" t="s">
        <v>345</v>
      </c>
      <c r="B23" s="284"/>
      <c r="C23" s="284"/>
      <c r="D23" s="284"/>
      <c r="E23" s="284"/>
      <c r="F23" s="284"/>
      <c r="G23" s="284"/>
    </row>
    <row r="24" spans="1:17">
      <c r="A24" s="19"/>
      <c r="B24" s="19"/>
      <c r="C24" s="19"/>
      <c r="D24" s="19"/>
      <c r="E24" s="19"/>
      <c r="F24" s="19"/>
      <c r="G24" s="19"/>
    </row>
    <row r="25" spans="1:17">
      <c r="A25" s="282" t="s">
        <v>202</v>
      </c>
      <c r="B25" s="282"/>
      <c r="C25" s="282"/>
      <c r="D25" s="282"/>
      <c r="E25" s="282"/>
      <c r="F25" s="282"/>
      <c r="G25" s="282"/>
    </row>
    <row r="26" spans="1:17">
      <c r="B26" s="20"/>
      <c r="C26" s="20"/>
      <c r="D26" s="20"/>
      <c r="E26" s="20"/>
      <c r="F26" s="20"/>
      <c r="G26" s="20"/>
    </row>
    <row r="27" spans="1:17" ht="15.5" customHeight="1">
      <c r="A27" s="279" t="s">
        <v>283</v>
      </c>
      <c r="B27" s="276" t="s">
        <v>18</v>
      </c>
      <c r="C27" s="276" t="s">
        <v>346</v>
      </c>
      <c r="D27" s="272" t="s">
        <v>344</v>
      </c>
      <c r="E27" s="273"/>
      <c r="F27" s="273"/>
      <c r="G27" s="274"/>
      <c r="Q27" s="7" t="s">
        <v>356</v>
      </c>
    </row>
    <row r="28" spans="1:17">
      <c r="A28" s="280"/>
      <c r="B28" s="277"/>
      <c r="C28" s="277"/>
      <c r="D28" s="21" t="s">
        <v>261</v>
      </c>
      <c r="E28" s="21" t="s">
        <v>244</v>
      </c>
      <c r="F28" s="21" t="s">
        <v>271</v>
      </c>
      <c r="G28" s="21" t="s">
        <v>272</v>
      </c>
    </row>
    <row r="29" spans="1:17">
      <c r="A29" s="22">
        <v>1</v>
      </c>
      <c r="B29" s="23">
        <v>2</v>
      </c>
      <c r="C29" s="22">
        <v>3</v>
      </c>
      <c r="D29" s="22">
        <v>4</v>
      </c>
      <c r="E29" s="23">
        <v>5</v>
      </c>
      <c r="F29" s="22">
        <v>6</v>
      </c>
      <c r="G29" s="23">
        <v>7</v>
      </c>
    </row>
    <row r="30" spans="1:17">
      <c r="A30" s="290" t="s">
        <v>99</v>
      </c>
      <c r="B30" s="291"/>
      <c r="C30" s="291"/>
      <c r="D30" s="291"/>
      <c r="E30" s="291"/>
      <c r="F30" s="291"/>
      <c r="G30" s="292"/>
    </row>
    <row r="31" spans="1:17" ht="31">
      <c r="A31" s="24" t="s">
        <v>203</v>
      </c>
      <c r="B31" s="23">
        <f>'1. Фін результат'!B9</f>
        <v>1000</v>
      </c>
      <c r="C31" s="25">
        <f>'1. Фін результат'!C9</f>
        <v>29078</v>
      </c>
      <c r="D31" s="25">
        <f>'1. Фін результат'!D9</f>
        <v>52706</v>
      </c>
      <c r="E31" s="25">
        <f>'1. Фін результат'!E9</f>
        <v>24368.2</v>
      </c>
      <c r="F31" s="25">
        <f>E31-D31</f>
        <v>-28337.8</v>
      </c>
      <c r="G31" s="26">
        <f>E31/D31*100</f>
        <v>46.234204834364213</v>
      </c>
    </row>
    <row r="32" spans="1:17" ht="31">
      <c r="A32" s="24" t="s">
        <v>173</v>
      </c>
      <c r="B32" s="23">
        <f>'1. Фін результат'!B11</f>
        <v>1010</v>
      </c>
      <c r="C32" s="25">
        <f>'1. Фін результат'!C11</f>
        <v>22676</v>
      </c>
      <c r="D32" s="25">
        <f>'1. Фін результат'!D11</f>
        <v>39833</v>
      </c>
      <c r="E32" s="25">
        <f>'1. Фін результат'!E11</f>
        <v>33328</v>
      </c>
      <c r="F32" s="25">
        <f t="shared" ref="F32:F45" si="0">E32-D32</f>
        <v>-6505</v>
      </c>
      <c r="G32" s="26">
        <f t="shared" ref="G32:G45" si="1">E32/D32*100</f>
        <v>83.669319408530612</v>
      </c>
    </row>
    <row r="33" spans="1:7">
      <c r="A33" s="27" t="s">
        <v>262</v>
      </c>
      <c r="B33" s="23">
        <f>'1. Фін результат'!B31</f>
        <v>1020</v>
      </c>
      <c r="C33" s="25">
        <f>'1. Фін результат'!C31</f>
        <v>6402</v>
      </c>
      <c r="D33" s="25">
        <f>'1. Фін результат'!D31</f>
        <v>12873</v>
      </c>
      <c r="E33" s="25">
        <f>'1. Фін результат'!E31</f>
        <v>-8959.7999999999993</v>
      </c>
      <c r="F33" s="25">
        <f t="shared" si="0"/>
        <v>-21832.799999999999</v>
      </c>
      <c r="G33" s="26">
        <f t="shared" si="1"/>
        <v>-69.60149149382427</v>
      </c>
    </row>
    <row r="34" spans="1:7">
      <c r="A34" s="24" t="s">
        <v>140</v>
      </c>
      <c r="B34" s="23">
        <f>'1. Фін результат'!B35</f>
        <v>1040</v>
      </c>
      <c r="C34" s="25">
        <f>'1. Фін результат'!C35</f>
        <v>5731</v>
      </c>
      <c r="D34" s="25">
        <f>'1. Фін результат'!D35</f>
        <v>7414</v>
      </c>
      <c r="E34" s="25">
        <f>'1. Фін результат'!E35</f>
        <v>6954.4</v>
      </c>
      <c r="F34" s="25">
        <f t="shared" si="0"/>
        <v>-459.60000000000036</v>
      </c>
      <c r="G34" s="26">
        <f t="shared" si="1"/>
        <v>93.800917183706503</v>
      </c>
    </row>
    <row r="35" spans="1:7">
      <c r="A35" s="24" t="s">
        <v>137</v>
      </c>
      <c r="B35" s="23">
        <f>'1. Фін результат'!B67</f>
        <v>1070</v>
      </c>
      <c r="C35" s="25">
        <f>'1. Фін результат'!C67</f>
        <v>1955</v>
      </c>
      <c r="D35" s="25">
        <f>'1. Фін результат'!D67</f>
        <v>4535</v>
      </c>
      <c r="E35" s="25">
        <f>'1. Фін результат'!E67</f>
        <v>2514</v>
      </c>
      <c r="F35" s="25">
        <f t="shared" si="0"/>
        <v>-2021</v>
      </c>
      <c r="G35" s="26">
        <f t="shared" si="1"/>
        <v>55.435501653803755</v>
      </c>
    </row>
    <row r="36" spans="1:7">
      <c r="A36" s="24" t="s">
        <v>141</v>
      </c>
      <c r="B36" s="23">
        <f>'1. Фін результат'!B123</f>
        <v>1300</v>
      </c>
      <c r="C36" s="25">
        <f>'1. Фін результат'!C32-'1. Фін результат'!C87</f>
        <v>-96</v>
      </c>
      <c r="D36" s="25">
        <f>'1. Фін результат'!D32-'1. Фін результат'!D87</f>
        <v>0</v>
      </c>
      <c r="E36" s="25">
        <f>'1. Фін результат'!E32-'1. Фін результат'!E87</f>
        <v>17849</v>
      </c>
      <c r="F36" s="25">
        <f t="shared" si="0"/>
        <v>17849</v>
      </c>
      <c r="G36" s="28" t="e">
        <f t="shared" si="1"/>
        <v>#DIV/0!</v>
      </c>
    </row>
    <row r="37" spans="1:7">
      <c r="A37" s="29" t="s">
        <v>4</v>
      </c>
      <c r="B37" s="23">
        <f>'1. Фін результат'!B99</f>
        <v>1100</v>
      </c>
      <c r="C37" s="25">
        <f>'1. Фін результат'!C99</f>
        <v>-1380</v>
      </c>
      <c r="D37" s="25">
        <f>'1. Фін результат'!D99</f>
        <v>924</v>
      </c>
      <c r="E37" s="25">
        <f>'1. Фін результат'!E99</f>
        <v>-579.19999999999891</v>
      </c>
      <c r="F37" s="25">
        <f t="shared" si="0"/>
        <v>-1503.1999999999989</v>
      </c>
      <c r="G37" s="26">
        <f t="shared" si="1"/>
        <v>-62.683982683982563</v>
      </c>
    </row>
    <row r="38" spans="1:7">
      <c r="A38" s="30" t="s">
        <v>142</v>
      </c>
      <c r="B38" s="23">
        <f>'1. Фін результат'!B134</f>
        <v>1410</v>
      </c>
      <c r="C38" s="25">
        <f>'1. Фін результат'!C134</f>
        <v>-511</v>
      </c>
      <c r="D38" s="25">
        <f>'1. Фін результат'!D134</f>
        <v>1928</v>
      </c>
      <c r="E38" s="25">
        <f>'1. Фін результат'!E134</f>
        <v>634.80000000000109</v>
      </c>
      <c r="F38" s="25">
        <f t="shared" si="0"/>
        <v>-1293.1999999999989</v>
      </c>
      <c r="G38" s="26">
        <f t="shared" si="1"/>
        <v>32.925311203319559</v>
      </c>
    </row>
    <row r="39" spans="1:7">
      <c r="A39" s="31" t="s">
        <v>226</v>
      </c>
      <c r="B39" s="23">
        <f>' 5. Коефіцієнти'!B8</f>
        <v>5010</v>
      </c>
      <c r="C39" s="25">
        <f>'фінплан - зведені показники'!C38/'фінплан - зведені показники'!C31</f>
        <v>-1.7573423206547905E-2</v>
      </c>
      <c r="D39" s="66">
        <f>'фінплан - зведені показники'!D38/'фінплан - зведені показники'!D31</f>
        <v>3.6580275490456497E-2</v>
      </c>
      <c r="E39" s="66">
        <f>'фінплан - зведені показники'!E38/'фінплан - зведені показники'!E31</f>
        <v>2.6050344301179449E-2</v>
      </c>
      <c r="F39" s="25">
        <f t="shared" si="0"/>
        <v>-1.0529931189277048E-2</v>
      </c>
      <c r="G39" s="26">
        <f t="shared" si="1"/>
        <v>71.214182922093556</v>
      </c>
    </row>
    <row r="40" spans="1:7" ht="31">
      <c r="A40" s="31" t="s">
        <v>143</v>
      </c>
      <c r="B40" s="23">
        <f>'1. Фін результат'!B124</f>
        <v>1310</v>
      </c>
      <c r="C40" s="25">
        <f>'1. Фін результат'!C124</f>
        <v>0</v>
      </c>
      <c r="D40" s="25">
        <f>'1. Фін результат'!D124</f>
        <v>0</v>
      </c>
      <c r="E40" s="25">
        <f>'1. Фін результат'!E124</f>
        <v>1</v>
      </c>
      <c r="F40" s="25">
        <f t="shared" si="0"/>
        <v>1</v>
      </c>
      <c r="G40" s="28" t="e">
        <f t="shared" si="1"/>
        <v>#DIV/0!</v>
      </c>
    </row>
    <row r="41" spans="1:7">
      <c r="A41" s="24" t="s">
        <v>230</v>
      </c>
      <c r="B41" s="23">
        <f>'1. Фін результат'!B125</f>
        <v>1320</v>
      </c>
      <c r="C41" s="25">
        <f>'1. Фін результат'!C105-'1. Фін результат'!C111</f>
        <v>1390</v>
      </c>
      <c r="D41" s="25">
        <f>'1. Фін результат'!D105-'1. Фін результат'!D111</f>
        <v>1004</v>
      </c>
      <c r="E41" s="25">
        <f>'1. Фін результат'!E105-'1. Фін результат'!E111</f>
        <v>885</v>
      </c>
      <c r="F41" s="25">
        <f t="shared" si="0"/>
        <v>-119</v>
      </c>
      <c r="G41" s="26">
        <f t="shared" si="1"/>
        <v>88.147410358565736</v>
      </c>
    </row>
    <row r="42" spans="1:7">
      <c r="A42" s="30" t="s">
        <v>97</v>
      </c>
      <c r="B42" s="23">
        <f>'1. Фін результат'!B115</f>
        <v>1170</v>
      </c>
      <c r="C42" s="25">
        <f>'1. Фін результат'!C115</f>
        <v>10</v>
      </c>
      <c r="D42" s="25">
        <f>'1. Фін результат'!D115</f>
        <v>1928</v>
      </c>
      <c r="E42" s="25">
        <f>'1. Фін результат'!E115</f>
        <v>306.80000000000109</v>
      </c>
      <c r="F42" s="25">
        <f t="shared" si="0"/>
        <v>-1621.1999999999989</v>
      </c>
      <c r="G42" s="26">
        <f t="shared" si="1"/>
        <v>15.912863070539476</v>
      </c>
    </row>
    <row r="43" spans="1:7">
      <c r="A43" s="2" t="s">
        <v>138</v>
      </c>
      <c r="B43" s="23">
        <f>'1. Фін результат'!B116</f>
        <v>1180</v>
      </c>
      <c r="C43" s="25">
        <f>'1. Фін результат'!C116</f>
        <v>0</v>
      </c>
      <c r="D43" s="25">
        <f>'1. Фін результат'!D116</f>
        <v>347</v>
      </c>
      <c r="E43" s="25">
        <f>'1. Фін результат'!E116</f>
        <v>0</v>
      </c>
      <c r="F43" s="25">
        <f t="shared" si="0"/>
        <v>-347</v>
      </c>
      <c r="G43" s="28">
        <f t="shared" si="1"/>
        <v>0</v>
      </c>
    </row>
    <row r="44" spans="1:7">
      <c r="A44" s="29" t="s">
        <v>227</v>
      </c>
      <c r="B44" s="23">
        <f>'1. Фін результат'!B118</f>
        <v>1200</v>
      </c>
      <c r="C44" s="25">
        <f>'1. Фін результат'!C118</f>
        <v>10</v>
      </c>
      <c r="D44" s="25">
        <f>'1. Фін результат'!D118</f>
        <v>1581</v>
      </c>
      <c r="E44" s="25">
        <f>'1. Фін результат'!E118</f>
        <v>306.80000000000109</v>
      </c>
      <c r="F44" s="25">
        <f t="shared" si="0"/>
        <v>-1274.1999999999989</v>
      </c>
      <c r="G44" s="26">
        <f t="shared" si="1"/>
        <v>19.405439595192988</v>
      </c>
    </row>
    <row r="45" spans="1:7">
      <c r="A45" s="31" t="s">
        <v>228</v>
      </c>
      <c r="B45" s="23">
        <f>' 5. Коефіцієнти'!B11</f>
        <v>5040</v>
      </c>
      <c r="C45" s="25">
        <f>C44/C31</f>
        <v>3.4390260678175943E-4</v>
      </c>
      <c r="D45" s="25">
        <f>D44/D31</f>
        <v>2.9996584829051719E-2</v>
      </c>
      <c r="E45" s="25">
        <f>E44/E31</f>
        <v>1.2590179003783664E-2</v>
      </c>
      <c r="F45" s="25">
        <f t="shared" si="0"/>
        <v>-1.7406405825268055E-2</v>
      </c>
      <c r="G45" s="26">
        <f t="shared" si="1"/>
        <v>41.972041402493474</v>
      </c>
    </row>
    <row r="46" spans="1:7">
      <c r="A46" s="290" t="s">
        <v>155</v>
      </c>
      <c r="B46" s="291"/>
      <c r="C46" s="291"/>
      <c r="D46" s="291"/>
      <c r="E46" s="291"/>
      <c r="F46" s="291"/>
      <c r="G46" s="292"/>
    </row>
    <row r="47" spans="1:7">
      <c r="A47" s="31" t="s">
        <v>347</v>
      </c>
      <c r="B47" s="23">
        <f>'2. Розрахунки з бюджетом'!B21</f>
        <v>2100</v>
      </c>
      <c r="C47" s="25">
        <f>'2. Розрахунки з бюджетом'!C9</f>
        <v>7</v>
      </c>
      <c r="D47" s="25">
        <f>'2. Розрахунки з бюджетом'!D9</f>
        <v>1043</v>
      </c>
      <c r="E47" s="25">
        <f>'2. Розрахунки з бюджетом'!E9</f>
        <v>150</v>
      </c>
      <c r="F47" s="25">
        <f t="shared" ref="F47:F52" si="2">E47-D47</f>
        <v>-893</v>
      </c>
      <c r="G47" s="26">
        <f t="shared" ref="G47:G52" si="3">E47/D47*100</f>
        <v>14.381591562799617</v>
      </c>
    </row>
    <row r="48" spans="1:7">
      <c r="A48" s="1" t="s">
        <v>154</v>
      </c>
      <c r="B48" s="23">
        <f>'2. Розрахунки з бюджетом'!B24</f>
        <v>2110</v>
      </c>
      <c r="C48" s="25">
        <f>'2. Розрахунки з бюджетом'!C24</f>
        <v>0</v>
      </c>
      <c r="D48" s="25">
        <f>'2. Розрахунки з бюджетом'!D24</f>
        <v>347</v>
      </c>
      <c r="E48" s="25">
        <f>'2. Розрахунки з бюджетом'!E24</f>
        <v>0</v>
      </c>
      <c r="F48" s="25">
        <f t="shared" si="2"/>
        <v>-347</v>
      </c>
      <c r="G48" s="28">
        <f t="shared" si="3"/>
        <v>0</v>
      </c>
    </row>
    <row r="49" spans="1:7" ht="31">
      <c r="A49" s="1" t="s">
        <v>593</v>
      </c>
      <c r="B49" s="23" t="s">
        <v>315</v>
      </c>
      <c r="C49" s="25">
        <f>'2. Розрахунки з бюджетом'!C25+'2. Розрахунки з бюджетом'!C26</f>
        <v>2625</v>
      </c>
      <c r="D49" s="25">
        <f>'2. Розрахунки з бюджетом'!D25+'2. Розрахунки з бюджетом'!D26</f>
        <v>748</v>
      </c>
      <c r="E49" s="25">
        <f>'2. Розрахунки з бюджетом'!E25+'2. Розрахунки з бюджетом'!E26</f>
        <v>823.7</v>
      </c>
      <c r="F49" s="25">
        <f t="shared" si="2"/>
        <v>75.700000000000045</v>
      </c>
      <c r="G49" s="26">
        <f t="shared" si="3"/>
        <v>110.12032085561498</v>
      </c>
    </row>
    <row r="50" spans="1:7" ht="31">
      <c r="A50" s="31" t="s">
        <v>254</v>
      </c>
      <c r="B50" s="23">
        <f>'2. Розрахунки з бюджетом'!B27</f>
        <v>2140</v>
      </c>
      <c r="C50" s="25">
        <f>'2. Розрахунки з бюджетом'!C27</f>
        <v>4044</v>
      </c>
      <c r="D50" s="25">
        <f>'2. Розрахунки з бюджетом'!D27</f>
        <v>6727</v>
      </c>
      <c r="E50" s="25">
        <f>'2. Розрахунки з бюджетом'!E27</f>
        <v>4816</v>
      </c>
      <c r="F50" s="25">
        <f t="shared" si="2"/>
        <v>-1911</v>
      </c>
      <c r="G50" s="26">
        <f t="shared" si="3"/>
        <v>71.592091571279909</v>
      </c>
    </row>
    <row r="51" spans="1:7" ht="31">
      <c r="A51" s="31" t="s">
        <v>84</v>
      </c>
      <c r="B51" s="23">
        <f>'2. Розрахунки з бюджетом'!B40</f>
        <v>2150</v>
      </c>
      <c r="C51" s="25">
        <f>'2. Розрахунки з бюджетом'!C40</f>
        <v>4290</v>
      </c>
      <c r="D51" s="25">
        <f>'2. Розрахунки з бюджетом'!D40</f>
        <v>7408</v>
      </c>
      <c r="E51" s="25">
        <f>'2. Розрахунки з бюджетом'!E40</f>
        <v>5128</v>
      </c>
      <c r="F51" s="25">
        <f t="shared" si="2"/>
        <v>-2280</v>
      </c>
      <c r="G51" s="26">
        <f t="shared" si="3"/>
        <v>69.222462203023767</v>
      </c>
    </row>
    <row r="52" spans="1:7">
      <c r="A52" s="30" t="s">
        <v>263</v>
      </c>
      <c r="B52" s="23">
        <f>'2. Розрахунки з бюджетом'!B41</f>
        <v>2200</v>
      </c>
      <c r="C52" s="25">
        <f>'2. Розрахунки з бюджетом'!C41</f>
        <v>10966</v>
      </c>
      <c r="D52" s="25">
        <f>'2. Розрахунки з бюджетом'!D41</f>
        <v>16273</v>
      </c>
      <c r="E52" s="25">
        <f>'2. Розрахунки з бюджетом'!E41</f>
        <v>10917.7</v>
      </c>
      <c r="F52" s="25">
        <f t="shared" si="2"/>
        <v>-5355.2999999999993</v>
      </c>
      <c r="G52" s="26">
        <f t="shared" si="3"/>
        <v>67.090886744914897</v>
      </c>
    </row>
    <row r="53" spans="1:7">
      <c r="A53" s="290" t="s">
        <v>153</v>
      </c>
      <c r="B53" s="291"/>
      <c r="C53" s="291"/>
      <c r="D53" s="291"/>
      <c r="E53" s="291"/>
      <c r="F53" s="291"/>
      <c r="G53" s="292"/>
    </row>
    <row r="54" spans="1:7">
      <c r="A54" s="30" t="s">
        <v>144</v>
      </c>
      <c r="B54" s="23">
        <f>'3. Рух грошових коштів'!B82</f>
        <v>3600</v>
      </c>
      <c r="C54" s="25">
        <f>'3. Рух грошових коштів'!C82</f>
        <v>790</v>
      </c>
      <c r="D54" s="25">
        <f>'3. Рух грошових коштів'!D82</f>
        <v>737</v>
      </c>
      <c r="E54" s="25">
        <f>'3. Рух грошових коштів'!E82</f>
        <v>5915</v>
      </c>
      <c r="F54" s="25">
        <f t="shared" ref="F54:F59" si="4">E54-D54</f>
        <v>5178</v>
      </c>
      <c r="G54" s="26">
        <f t="shared" ref="G54:G59" si="5">E54/D54*100</f>
        <v>802.57801899592937</v>
      </c>
    </row>
    <row r="55" spans="1:7">
      <c r="A55" s="182" t="s">
        <v>145</v>
      </c>
      <c r="B55" s="23">
        <f>'3. Рух грошових коштів'!B28</f>
        <v>3090</v>
      </c>
      <c r="C55" s="25">
        <f>'3. Рух грошових коштів '!C31</f>
        <v>313</v>
      </c>
      <c r="D55" s="25">
        <f>'3. Рух грошових коштів '!D31</f>
        <v>1581</v>
      </c>
      <c r="E55" s="25">
        <f>'3. Рух грошових коштів '!E31</f>
        <v>1118.1999999999998</v>
      </c>
      <c r="F55" s="25">
        <f t="shared" si="4"/>
        <v>-462.80000000000018</v>
      </c>
      <c r="G55" s="26">
        <f t="shared" si="5"/>
        <v>70.727387729285255</v>
      </c>
    </row>
    <row r="56" spans="1:7" ht="31">
      <c r="A56" s="182" t="s">
        <v>231</v>
      </c>
      <c r="B56" s="23">
        <f>'3. Рух грошових коштів'!B49</f>
        <v>3320</v>
      </c>
      <c r="C56" s="25">
        <f>'3. Рух грошових коштів '!C52</f>
        <v>-640</v>
      </c>
      <c r="D56" s="25">
        <f>'3. Рух грошових коштів '!D52</f>
        <v>-1231</v>
      </c>
      <c r="E56" s="25">
        <f>'3. Рух грошових коштів '!E52</f>
        <v>-3559</v>
      </c>
      <c r="F56" s="25">
        <f t="shared" si="4"/>
        <v>-2328</v>
      </c>
      <c r="G56" s="26">
        <f t="shared" si="5"/>
        <v>289.1145410235581</v>
      </c>
    </row>
    <row r="57" spans="1:7">
      <c r="A57" s="182" t="s">
        <v>146</v>
      </c>
      <c r="B57" s="23">
        <f>'3. Рух грошових коштів'!B80</f>
        <v>3580</v>
      </c>
      <c r="C57" s="25">
        <f>'3. Рух грошових коштів '!C83</f>
        <v>5452</v>
      </c>
      <c r="D57" s="25">
        <f>'3. Рух грошових коштів '!D83</f>
        <v>-43</v>
      </c>
      <c r="E57" s="25">
        <f>'3. Рух грошових коштів '!E83</f>
        <v>109</v>
      </c>
      <c r="F57" s="25">
        <f t="shared" si="4"/>
        <v>152</v>
      </c>
      <c r="G57" s="26">
        <f t="shared" si="5"/>
        <v>-253.48837209302326</v>
      </c>
    </row>
    <row r="58" spans="1:7">
      <c r="A58" s="182" t="s">
        <v>168</v>
      </c>
      <c r="B58" s="23">
        <f>'3. Рух грошових коштів'!B83</f>
        <v>3610</v>
      </c>
      <c r="C58" s="25"/>
      <c r="D58" s="25"/>
      <c r="E58" s="25"/>
      <c r="F58" s="25">
        <f t="shared" si="4"/>
        <v>0</v>
      </c>
      <c r="G58" s="28" t="e">
        <f t="shared" si="5"/>
        <v>#DIV/0!</v>
      </c>
    </row>
    <row r="59" spans="1:7">
      <c r="A59" s="30" t="s">
        <v>147</v>
      </c>
      <c r="B59" s="23">
        <f>'3. Рух грошових коштів'!B84</f>
        <v>3620</v>
      </c>
      <c r="C59" s="25">
        <f>'3. Рух грошових коштів '!C87</f>
        <v>5915</v>
      </c>
      <c r="D59" s="25">
        <f>'3. Рух грошових коштів '!D87</f>
        <v>1044</v>
      </c>
      <c r="E59" s="25">
        <f>'3. Рух грошових коштів '!E87</f>
        <v>3583.0999999999995</v>
      </c>
      <c r="F59" s="25">
        <f t="shared" si="4"/>
        <v>2539.0999999999995</v>
      </c>
      <c r="G59" s="26">
        <f t="shared" si="5"/>
        <v>343.20881226053632</v>
      </c>
    </row>
    <row r="60" spans="1:7">
      <c r="A60" s="296" t="s">
        <v>210</v>
      </c>
      <c r="B60" s="297"/>
      <c r="C60" s="297"/>
      <c r="D60" s="297"/>
      <c r="E60" s="297"/>
      <c r="F60" s="297"/>
      <c r="G60" s="297"/>
    </row>
    <row r="61" spans="1:7">
      <c r="A61" s="31" t="s">
        <v>209</v>
      </c>
      <c r="B61" s="22">
        <f>'4. Кап. інвестиції'!B6</f>
        <v>4000</v>
      </c>
      <c r="C61" s="25">
        <f>'4. Кап. інвестиції'!C6</f>
        <v>640</v>
      </c>
      <c r="D61" s="25">
        <f>'4. Кап. інвестиції'!D6</f>
        <v>1231</v>
      </c>
      <c r="E61" s="25">
        <f>'4. Кап. інвестиції'!E6</f>
        <v>3635</v>
      </c>
      <c r="F61" s="25">
        <f>E61-D61</f>
        <v>2404</v>
      </c>
      <c r="G61" s="26">
        <f>E61/D61*100</f>
        <v>295.28838342810724</v>
      </c>
    </row>
    <row r="62" spans="1:7">
      <c r="A62" s="293" t="s">
        <v>212</v>
      </c>
      <c r="B62" s="294"/>
      <c r="C62" s="294"/>
      <c r="D62" s="294"/>
      <c r="E62" s="294"/>
      <c r="F62" s="294"/>
      <c r="G62" s="295"/>
    </row>
    <row r="63" spans="1:7">
      <c r="A63" s="31" t="s">
        <v>171</v>
      </c>
      <c r="B63" s="22">
        <f>' 5. Коефіцієнти'!B9</f>
        <v>5020</v>
      </c>
      <c r="C63" s="25">
        <f>' 5. Коефіцієнти'!D9</f>
        <v>7.9453360877165108E-4</v>
      </c>
      <c r="D63" s="25">
        <f>D44/D70</f>
        <v>0.15624073525051882</v>
      </c>
      <c r="E63" s="25">
        <f>' 5. Коефіцієнти'!E9</f>
        <v>1.6368865010217261E-2</v>
      </c>
      <c r="F63" s="25" t="s">
        <v>373</v>
      </c>
      <c r="G63" s="26" t="s">
        <v>373</v>
      </c>
    </row>
    <row r="64" spans="1:7">
      <c r="A64" s="71" t="s">
        <v>167</v>
      </c>
      <c r="B64" s="69">
        <f>' 5. Коефіцієнти'!B10</f>
        <v>5030</v>
      </c>
      <c r="C64" s="68">
        <f>' 5. Коефіцієнти'!D10</f>
        <v>1.0094891984655764E-3</v>
      </c>
      <c r="D64" s="68">
        <f>D44/D76</f>
        <v>0.19819481007897705</v>
      </c>
      <c r="E64" s="25">
        <f>' 5. Коефіцієнти'!E10</f>
        <v>2.9725801763395125E-2</v>
      </c>
      <c r="F64" s="68" t="s">
        <v>373</v>
      </c>
      <c r="G64" s="70" t="s">
        <v>373</v>
      </c>
    </row>
    <row r="65" spans="1:10">
      <c r="A65" s="71" t="s">
        <v>229</v>
      </c>
      <c r="B65" s="69">
        <f>' 5. Коефіцієнти'!B13</f>
        <v>5110</v>
      </c>
      <c r="C65" s="68">
        <f>' 5. Коефіцієнти'!D13</f>
        <v>3.696268656716418</v>
      </c>
      <c r="D65" s="68">
        <f>D76/D73</f>
        <v>3.7240896358543418</v>
      </c>
      <c r="E65" s="25">
        <f>' 5. Коефіцієнти'!E13</f>
        <v>1.2254954345219014</v>
      </c>
      <c r="F65" s="68" t="s">
        <v>373</v>
      </c>
      <c r="G65" s="70" t="s">
        <v>373</v>
      </c>
    </row>
    <row r="66" spans="1:10">
      <c r="A66" s="287" t="s">
        <v>211</v>
      </c>
      <c r="B66" s="288"/>
      <c r="C66" s="288"/>
      <c r="D66" s="288"/>
      <c r="E66" s="288"/>
      <c r="F66" s="288"/>
      <c r="G66" s="289"/>
    </row>
    <row r="67" spans="1:10">
      <c r="A67" s="71" t="s">
        <v>148</v>
      </c>
      <c r="B67" s="69">
        <v>6000</v>
      </c>
      <c r="C67" s="192">
        <v>4820</v>
      </c>
      <c r="D67" s="192">
        <f>7443</f>
        <v>7443</v>
      </c>
      <c r="E67" s="192">
        <v>7318</v>
      </c>
      <c r="F67" s="68">
        <f>E67-D67</f>
        <v>-125</v>
      </c>
      <c r="G67" s="70">
        <f>E67/D67*100</f>
        <v>98.320569662770382</v>
      </c>
      <c r="J67" s="96"/>
    </row>
    <row r="68" spans="1:10">
      <c r="A68" s="71" t="s">
        <v>149</v>
      </c>
      <c r="B68" s="69">
        <v>6010</v>
      </c>
      <c r="C68" s="192">
        <v>7766</v>
      </c>
      <c r="D68" s="192">
        <v>2676</v>
      </c>
      <c r="E68" s="192">
        <v>11424.9</v>
      </c>
      <c r="F68" s="68">
        <f t="shared" ref="F68:F76" si="6">E68-D68</f>
        <v>8748.9</v>
      </c>
      <c r="G68" s="70">
        <f t="shared" ref="G68:G76" si="7">E68/D68*100</f>
        <v>426.93946188340811</v>
      </c>
    </row>
    <row r="69" spans="1:10">
      <c r="A69" s="71" t="s">
        <v>266</v>
      </c>
      <c r="B69" s="69">
        <v>6020</v>
      </c>
      <c r="C69" s="192">
        <v>5915</v>
      </c>
      <c r="D69" s="192">
        <v>1044</v>
      </c>
      <c r="E69" s="192">
        <v>3582</v>
      </c>
      <c r="F69" s="68">
        <f t="shared" si="6"/>
        <v>2538</v>
      </c>
      <c r="G69" s="70">
        <f t="shared" si="7"/>
        <v>343.10344827586204</v>
      </c>
      <c r="H69" s="162"/>
      <c r="I69" s="162"/>
    </row>
    <row r="70" spans="1:10" s="32" customFormat="1">
      <c r="A70" s="72" t="s">
        <v>264</v>
      </c>
      <c r="B70" s="69">
        <v>6030</v>
      </c>
      <c r="C70" s="192">
        <v>12586</v>
      </c>
      <c r="D70" s="192">
        <f>10119</f>
        <v>10119</v>
      </c>
      <c r="E70" s="192">
        <f>E67+E68</f>
        <v>18742.900000000001</v>
      </c>
      <c r="F70" s="68">
        <f t="shared" si="6"/>
        <v>8623.9000000000015</v>
      </c>
      <c r="G70" s="70">
        <f t="shared" si="7"/>
        <v>185.22482458740984</v>
      </c>
    </row>
    <row r="71" spans="1:10">
      <c r="A71" s="71" t="s">
        <v>169</v>
      </c>
      <c r="B71" s="69">
        <v>6040</v>
      </c>
      <c r="C71" s="192">
        <v>779</v>
      </c>
      <c r="D71" s="192">
        <v>0</v>
      </c>
      <c r="E71" s="193">
        <v>5409.9</v>
      </c>
      <c r="F71" s="68">
        <f t="shared" si="6"/>
        <v>5409.9</v>
      </c>
      <c r="G71" s="73" t="e">
        <f t="shared" si="7"/>
        <v>#DIV/0!</v>
      </c>
    </row>
    <row r="72" spans="1:10">
      <c r="A72" s="71" t="s">
        <v>170</v>
      </c>
      <c r="B72" s="69">
        <v>6050</v>
      </c>
      <c r="C72" s="192">
        <v>1901</v>
      </c>
      <c r="D72" s="192">
        <v>2142</v>
      </c>
      <c r="E72" s="192">
        <v>3012</v>
      </c>
      <c r="F72" s="68">
        <f t="shared" si="6"/>
        <v>870</v>
      </c>
      <c r="G72" s="70">
        <f t="shared" si="7"/>
        <v>140.61624649859942</v>
      </c>
    </row>
    <row r="73" spans="1:10" s="32" customFormat="1">
      <c r="A73" s="72" t="s">
        <v>265</v>
      </c>
      <c r="B73" s="69">
        <v>6060</v>
      </c>
      <c r="C73" s="192">
        <v>2680</v>
      </c>
      <c r="D73" s="192">
        <f>SUM(D71:D72)</f>
        <v>2142</v>
      </c>
      <c r="E73" s="192">
        <f>E71+E72</f>
        <v>8421.9</v>
      </c>
      <c r="F73" s="68">
        <f t="shared" si="6"/>
        <v>6279.9</v>
      </c>
      <c r="G73" s="70">
        <f t="shared" si="7"/>
        <v>393.17927170868347</v>
      </c>
    </row>
    <row r="74" spans="1:10">
      <c r="A74" s="71" t="s">
        <v>267</v>
      </c>
      <c r="B74" s="69">
        <v>6070</v>
      </c>
      <c r="C74" s="192"/>
      <c r="D74" s="192">
        <v>0</v>
      </c>
      <c r="E74" s="192"/>
      <c r="F74" s="68">
        <f t="shared" si="6"/>
        <v>0</v>
      </c>
      <c r="G74" s="73" t="e">
        <f t="shared" si="7"/>
        <v>#DIV/0!</v>
      </c>
    </row>
    <row r="75" spans="1:10">
      <c r="A75" s="71" t="s">
        <v>268</v>
      </c>
      <c r="B75" s="69">
        <v>6080</v>
      </c>
      <c r="C75" s="192"/>
      <c r="D75" s="192">
        <v>0</v>
      </c>
      <c r="E75" s="192"/>
      <c r="F75" s="68">
        <f t="shared" si="6"/>
        <v>0</v>
      </c>
      <c r="G75" s="73" t="e">
        <f t="shared" si="7"/>
        <v>#DIV/0!</v>
      </c>
    </row>
    <row r="76" spans="1:10" s="32" customFormat="1">
      <c r="A76" s="72" t="s">
        <v>150</v>
      </c>
      <c r="B76" s="69">
        <v>6090</v>
      </c>
      <c r="C76" s="192">
        <v>9906</v>
      </c>
      <c r="D76" s="192">
        <f>D70-D73</f>
        <v>7977</v>
      </c>
      <c r="E76" s="192">
        <v>10321</v>
      </c>
      <c r="F76" s="68">
        <f t="shared" si="6"/>
        <v>2344</v>
      </c>
      <c r="G76" s="70">
        <f t="shared" si="7"/>
        <v>129.38448038109564</v>
      </c>
    </row>
    <row r="77" spans="1:10">
      <c r="A77" s="33"/>
      <c r="B77" s="5"/>
      <c r="C77" s="5"/>
      <c r="D77" s="177"/>
      <c r="E77" s="5"/>
      <c r="F77" s="5"/>
      <c r="G77" s="5"/>
    </row>
    <row r="78" spans="1:10" ht="30.5">
      <c r="A78" s="34" t="s">
        <v>523</v>
      </c>
      <c r="B78" s="35"/>
      <c r="C78" s="3"/>
      <c r="D78" s="3"/>
      <c r="E78" s="9"/>
      <c r="F78" s="3" t="s">
        <v>521</v>
      </c>
      <c r="G78" s="3"/>
    </row>
    <row r="79" spans="1:10">
      <c r="A79" s="18" t="s">
        <v>369</v>
      </c>
      <c r="B79" s="3"/>
      <c r="C79" s="284" t="s">
        <v>79</v>
      </c>
      <c r="D79" s="284"/>
      <c r="E79" s="3"/>
      <c r="F79" s="3" t="s">
        <v>103</v>
      </c>
      <c r="G79" s="3"/>
    </row>
    <row r="80" spans="1:10">
      <c r="A80" s="3"/>
      <c r="B80" s="5"/>
      <c r="C80" s="5"/>
      <c r="D80" s="5"/>
      <c r="E80" s="5"/>
      <c r="F80" s="5"/>
      <c r="G80" s="5"/>
    </row>
    <row r="81" spans="1:7">
      <c r="A81" s="9"/>
      <c r="B81" s="5"/>
      <c r="C81" s="5"/>
      <c r="D81" s="5"/>
      <c r="E81" s="5"/>
      <c r="F81" s="5"/>
      <c r="G81" s="5"/>
    </row>
    <row r="82" spans="1:7">
      <c r="A82" s="283"/>
      <c r="B82" s="283"/>
      <c r="C82" s="283"/>
      <c r="D82" s="283"/>
      <c r="E82" s="283"/>
      <c r="F82" s="283"/>
      <c r="G82" s="283"/>
    </row>
    <row r="83" spans="1:7">
      <c r="A83" s="36"/>
    </row>
    <row r="84" spans="1:7">
      <c r="A84" s="36"/>
    </row>
    <row r="85" spans="1:7">
      <c r="A85" s="36"/>
    </row>
    <row r="86" spans="1:7">
      <c r="A86" s="36"/>
    </row>
    <row r="87" spans="1:7">
      <c r="A87" s="36"/>
    </row>
    <row r="88" spans="1:7">
      <c r="A88" s="36"/>
    </row>
    <row r="89" spans="1:7">
      <c r="A89" s="36"/>
    </row>
    <row r="90" spans="1:7">
      <c r="A90" s="36"/>
    </row>
    <row r="91" spans="1:7">
      <c r="A91" s="36"/>
    </row>
    <row r="92" spans="1:7">
      <c r="A92" s="36"/>
    </row>
    <row r="93" spans="1:7">
      <c r="A93" s="36"/>
    </row>
    <row r="94" spans="1:7">
      <c r="A94" s="36"/>
    </row>
    <row r="95" spans="1:7">
      <c r="A95" s="36"/>
    </row>
    <row r="96" spans="1:7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  <row r="183" spans="1:1">
      <c r="A183" s="36"/>
    </row>
    <row r="184" spans="1:1">
      <c r="A184" s="36"/>
    </row>
    <row r="185" spans="1:1">
      <c r="A185" s="36"/>
    </row>
    <row r="186" spans="1:1">
      <c r="A186" s="36"/>
    </row>
    <row r="187" spans="1:1">
      <c r="A187" s="36"/>
    </row>
    <row r="188" spans="1:1">
      <c r="A188" s="36"/>
    </row>
    <row r="189" spans="1:1">
      <c r="A189" s="36"/>
    </row>
    <row r="190" spans="1:1">
      <c r="A190" s="36"/>
    </row>
    <row r="191" spans="1:1">
      <c r="A191" s="36"/>
    </row>
    <row r="192" spans="1:1">
      <c r="A192" s="36"/>
    </row>
    <row r="193" spans="1:1">
      <c r="A193" s="36"/>
    </row>
    <row r="194" spans="1:1">
      <c r="A194" s="36"/>
    </row>
    <row r="195" spans="1:1">
      <c r="A195" s="36"/>
    </row>
    <row r="196" spans="1:1">
      <c r="A196" s="36"/>
    </row>
    <row r="197" spans="1:1">
      <c r="A197" s="36"/>
    </row>
    <row r="198" spans="1:1">
      <c r="A198" s="36"/>
    </row>
    <row r="199" spans="1:1">
      <c r="A199" s="36"/>
    </row>
    <row r="200" spans="1:1">
      <c r="A200" s="36"/>
    </row>
    <row r="201" spans="1:1">
      <c r="A201" s="36"/>
    </row>
    <row r="202" spans="1:1">
      <c r="A202" s="36"/>
    </row>
    <row r="203" spans="1:1">
      <c r="A203" s="36"/>
    </row>
    <row r="204" spans="1:1">
      <c r="A204" s="36"/>
    </row>
    <row r="205" spans="1:1">
      <c r="A205" s="36"/>
    </row>
    <row r="206" spans="1:1">
      <c r="A206" s="36"/>
    </row>
    <row r="207" spans="1:1">
      <c r="A207" s="36"/>
    </row>
    <row r="208" spans="1:1">
      <c r="A208" s="36"/>
    </row>
    <row r="209" spans="1:1">
      <c r="A209" s="36"/>
    </row>
    <row r="210" spans="1:1">
      <c r="A210" s="36"/>
    </row>
    <row r="211" spans="1:1">
      <c r="A211" s="36"/>
    </row>
    <row r="212" spans="1:1">
      <c r="A212" s="36"/>
    </row>
    <row r="213" spans="1:1">
      <c r="A213" s="36"/>
    </row>
    <row r="214" spans="1:1">
      <c r="A214" s="36"/>
    </row>
    <row r="215" spans="1:1">
      <c r="A215" s="36"/>
    </row>
    <row r="216" spans="1:1">
      <c r="A216" s="36"/>
    </row>
    <row r="217" spans="1:1">
      <c r="A217" s="36"/>
    </row>
    <row r="218" spans="1:1">
      <c r="A218" s="36"/>
    </row>
    <row r="219" spans="1:1">
      <c r="A219" s="36"/>
    </row>
    <row r="220" spans="1:1">
      <c r="A220" s="36"/>
    </row>
    <row r="221" spans="1:1">
      <c r="A221" s="36"/>
    </row>
    <row r="222" spans="1:1">
      <c r="A222" s="36"/>
    </row>
    <row r="223" spans="1:1">
      <c r="A223" s="36"/>
    </row>
    <row r="224" spans="1:1">
      <c r="A224" s="36"/>
    </row>
    <row r="225" spans="1:1">
      <c r="A225" s="36"/>
    </row>
    <row r="226" spans="1:1">
      <c r="A226" s="36"/>
    </row>
    <row r="227" spans="1:1">
      <c r="A227" s="36"/>
    </row>
    <row r="228" spans="1:1">
      <c r="A228" s="36"/>
    </row>
    <row r="229" spans="1:1">
      <c r="A229" s="36"/>
    </row>
    <row r="230" spans="1:1">
      <c r="A230" s="36"/>
    </row>
    <row r="231" spans="1:1">
      <c r="A231" s="36"/>
    </row>
    <row r="232" spans="1:1">
      <c r="A232" s="36"/>
    </row>
    <row r="233" spans="1:1">
      <c r="A233" s="36"/>
    </row>
    <row r="234" spans="1:1">
      <c r="A234" s="36"/>
    </row>
    <row r="235" spans="1:1">
      <c r="A235" s="36"/>
    </row>
    <row r="236" spans="1:1">
      <c r="A236" s="36"/>
    </row>
    <row r="237" spans="1:1">
      <c r="A237" s="36"/>
    </row>
    <row r="238" spans="1:1">
      <c r="A238" s="36"/>
    </row>
    <row r="239" spans="1:1">
      <c r="A239" s="36"/>
    </row>
    <row r="240" spans="1:1">
      <c r="A240" s="36"/>
    </row>
    <row r="241" spans="1:1">
      <c r="A241" s="36"/>
    </row>
    <row r="242" spans="1:1">
      <c r="A242" s="36"/>
    </row>
    <row r="243" spans="1:1">
      <c r="A243" s="36"/>
    </row>
    <row r="244" spans="1:1">
      <c r="A244" s="36"/>
    </row>
    <row r="245" spans="1:1">
      <c r="A245" s="36"/>
    </row>
    <row r="246" spans="1:1">
      <c r="A246" s="36"/>
    </row>
    <row r="247" spans="1:1">
      <c r="A247" s="36"/>
    </row>
    <row r="248" spans="1:1">
      <c r="A248" s="36"/>
    </row>
  </sheetData>
  <mergeCells count="33"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  <mergeCell ref="B10:D10"/>
    <mergeCell ref="B11:D11"/>
    <mergeCell ref="B12:D12"/>
    <mergeCell ref="E13:F13"/>
    <mergeCell ref="B13:D13"/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</mergeCells>
  <phoneticPr fontId="3" type="noConversion"/>
  <pageMargins left="1.1811023622047245" right="0.39370078740157483" top="0.78740157480314965" bottom="0.78740157480314965" header="0" footer="0"/>
  <pageSetup paperSize="9" scale="49" orientation="portrait" r:id="rId1"/>
  <headerFooter alignWithMargins="0"/>
  <rowBreaks count="1" manualBreakCount="1">
    <brk id="59" max="6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43"/>
    <pageSetUpPr fitToPage="1"/>
  </sheetPr>
  <dimension ref="A1:O1069"/>
  <sheetViews>
    <sheetView view="pageBreakPreview" zoomScale="75" zoomScaleNormal="75" zoomScaleSheetLayoutView="75" workbookViewId="0">
      <pane ySplit="6" topLeftCell="A7" activePane="bottomLeft" state="frozen"/>
      <selection pane="bottomLeft" activeCell="G123" sqref="G123:G124"/>
    </sheetView>
  </sheetViews>
  <sheetFormatPr defaultColWidth="9.1796875" defaultRowHeight="15.5" outlineLevelRow="1"/>
  <cols>
    <col min="1" max="1" width="44" style="7" customWidth="1"/>
    <col min="2" max="2" width="10.1796875" style="37" customWidth="1"/>
    <col min="3" max="3" width="12.54296875" style="38" customWidth="1"/>
    <col min="4" max="4" width="12.7265625" style="37" customWidth="1"/>
    <col min="5" max="5" width="11" style="37" customWidth="1"/>
    <col min="6" max="6" width="13.453125" style="37" customWidth="1"/>
    <col min="7" max="7" width="14.54296875" style="37" customWidth="1"/>
    <col min="8" max="8" width="10.26953125" style="37" customWidth="1"/>
    <col min="9" max="16384" width="9.1796875" style="7"/>
  </cols>
  <sheetData>
    <row r="1" spans="1:15" outlineLevel="1">
      <c r="B1" s="20"/>
      <c r="D1" s="20"/>
      <c r="E1" s="20"/>
      <c r="F1" s="20"/>
      <c r="G1" s="20"/>
      <c r="H1" s="38" t="s">
        <v>237</v>
      </c>
    </row>
    <row r="2" spans="1:15" outlineLevel="1">
      <c r="B2" s="20"/>
      <c r="D2" s="20"/>
      <c r="E2" s="20"/>
      <c r="F2" s="20"/>
      <c r="G2" s="20"/>
      <c r="H2" s="38" t="s">
        <v>221</v>
      </c>
    </row>
    <row r="3" spans="1:15">
      <c r="A3" s="298" t="s">
        <v>357</v>
      </c>
      <c r="B3" s="298"/>
      <c r="C3" s="298"/>
      <c r="D3" s="298"/>
      <c r="E3" s="298"/>
      <c r="F3" s="298"/>
      <c r="G3" s="298"/>
      <c r="H3" s="298"/>
      <c r="O3" s="40"/>
    </row>
    <row r="4" spans="1:15">
      <c r="A4" s="194"/>
      <c r="B4" s="195"/>
      <c r="C4" s="196"/>
      <c r="D4" s="195"/>
      <c r="E4" s="195"/>
      <c r="F4" s="195"/>
      <c r="G4" s="195"/>
      <c r="H4" s="195"/>
    </row>
    <row r="5" spans="1:15">
      <c r="A5" s="302" t="s">
        <v>283</v>
      </c>
      <c r="B5" s="303" t="s">
        <v>18</v>
      </c>
      <c r="C5" s="304" t="s">
        <v>365</v>
      </c>
      <c r="D5" s="302" t="s">
        <v>344</v>
      </c>
      <c r="E5" s="302"/>
      <c r="F5" s="302"/>
      <c r="G5" s="302"/>
      <c r="H5" s="302"/>
    </row>
    <row r="6" spans="1:15" ht="30.75" customHeight="1">
      <c r="A6" s="302"/>
      <c r="B6" s="303"/>
      <c r="C6" s="305"/>
      <c r="D6" s="197" t="s">
        <v>261</v>
      </c>
      <c r="E6" s="197" t="s">
        <v>244</v>
      </c>
      <c r="F6" s="198" t="s">
        <v>364</v>
      </c>
      <c r="G6" s="198" t="s">
        <v>272</v>
      </c>
      <c r="H6" s="197" t="s">
        <v>270</v>
      </c>
    </row>
    <row r="7" spans="1:15">
      <c r="A7" s="22">
        <v>1</v>
      </c>
      <c r="B7" s="23">
        <v>2</v>
      </c>
      <c r="C7" s="199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15" s="32" customFormat="1" ht="15">
      <c r="A8" s="290" t="s">
        <v>269</v>
      </c>
      <c r="B8" s="291"/>
      <c r="C8" s="291"/>
      <c r="D8" s="291"/>
      <c r="E8" s="291"/>
      <c r="F8" s="291"/>
      <c r="G8" s="291"/>
      <c r="H8" s="292"/>
    </row>
    <row r="9" spans="1:15" s="32" customFormat="1" ht="30">
      <c r="A9" s="29" t="s">
        <v>108</v>
      </c>
      <c r="B9" s="200">
        <v>1000</v>
      </c>
      <c r="C9" s="201">
        <f>C10</f>
        <v>29078</v>
      </c>
      <c r="D9" s="201">
        <f>D10</f>
        <v>52706</v>
      </c>
      <c r="E9" s="201">
        <f>E10</f>
        <v>24368.2</v>
      </c>
      <c r="F9" s="202">
        <f>E9-D9</f>
        <v>-28337.8</v>
      </c>
      <c r="G9" s="203">
        <f>E9/D9*100</f>
        <v>46.234204834364213</v>
      </c>
      <c r="H9" s="204"/>
    </row>
    <row r="10" spans="1:15" ht="31">
      <c r="A10" s="2" t="s">
        <v>469</v>
      </c>
      <c r="B10" s="42" t="s">
        <v>470</v>
      </c>
      <c r="C10" s="202">
        <v>29078</v>
      </c>
      <c r="D10" s="202">
        <v>52706</v>
      </c>
      <c r="E10" s="202">
        <v>24368.2</v>
      </c>
      <c r="F10" s="202"/>
      <c r="G10" s="203"/>
      <c r="H10" s="204"/>
    </row>
    <row r="11" spans="1:15" ht="30">
      <c r="A11" s="29" t="s">
        <v>125</v>
      </c>
      <c r="B11" s="200">
        <v>1010</v>
      </c>
      <c r="C11" s="205">
        <f>SUM(C12:C19)</f>
        <v>22676</v>
      </c>
      <c r="D11" s="201">
        <f>SUM(D12:D19)</f>
        <v>39833</v>
      </c>
      <c r="E11" s="201">
        <f>SUM(E12:E19)</f>
        <v>33328</v>
      </c>
      <c r="F11" s="202">
        <f t="shared" ref="F11:F32" si="0">E11-D11</f>
        <v>-6505</v>
      </c>
      <c r="G11" s="203">
        <f t="shared" ref="G11:G19" si="1">E11/D11*100</f>
        <v>83.669319408530612</v>
      </c>
      <c r="H11" s="206"/>
      <c r="I11" s="7">
        <v>33328</v>
      </c>
      <c r="J11" s="77">
        <f>E11-I11</f>
        <v>0</v>
      </c>
      <c r="L11" s="7" t="s">
        <v>533</v>
      </c>
      <c r="M11" s="77"/>
    </row>
    <row r="12" spans="1:15">
      <c r="A12" s="2" t="s">
        <v>282</v>
      </c>
      <c r="B12" s="23">
        <v>1011</v>
      </c>
      <c r="C12" s="192">
        <v>112</v>
      </c>
      <c r="D12" s="192">
        <v>70</v>
      </c>
      <c r="E12" s="192">
        <v>67</v>
      </c>
      <c r="F12" s="202">
        <f t="shared" si="0"/>
        <v>-3</v>
      </c>
      <c r="G12" s="203">
        <f t="shared" si="1"/>
        <v>95.714285714285722</v>
      </c>
      <c r="H12" s="207"/>
    </row>
    <row r="13" spans="1:15">
      <c r="A13" s="2" t="s">
        <v>66</v>
      </c>
      <c r="B13" s="23">
        <v>1012</v>
      </c>
      <c r="C13" s="192">
        <v>1435</v>
      </c>
      <c r="D13" s="192">
        <v>1601</v>
      </c>
      <c r="E13" s="192">
        <v>3541</v>
      </c>
      <c r="F13" s="202">
        <f t="shared" si="0"/>
        <v>1940</v>
      </c>
      <c r="G13" s="203">
        <f t="shared" si="1"/>
        <v>221.17426608369769</v>
      </c>
      <c r="H13" s="207"/>
    </row>
    <row r="14" spans="1:15">
      <c r="A14" s="2" t="s">
        <v>65</v>
      </c>
      <c r="B14" s="23">
        <v>1013</v>
      </c>
      <c r="C14" s="192">
        <v>268</v>
      </c>
      <c r="D14" s="192">
        <v>307</v>
      </c>
      <c r="E14" s="192">
        <f>120+258</f>
        <v>378</v>
      </c>
      <c r="F14" s="202">
        <f t="shared" si="0"/>
        <v>71</v>
      </c>
      <c r="G14" s="203">
        <f t="shared" si="1"/>
        <v>123.12703583061891</v>
      </c>
      <c r="H14" s="207"/>
    </row>
    <row r="15" spans="1:15">
      <c r="A15" s="2" t="s">
        <v>40</v>
      </c>
      <c r="B15" s="23">
        <v>1014</v>
      </c>
      <c r="C15" s="192">
        <v>14232</v>
      </c>
      <c r="D15" s="192">
        <v>26223</v>
      </c>
      <c r="E15" s="192">
        <f>3295+14864</f>
        <v>18159</v>
      </c>
      <c r="F15" s="202">
        <f t="shared" si="0"/>
        <v>-8064</v>
      </c>
      <c r="G15" s="203">
        <f t="shared" si="1"/>
        <v>69.248369751744647</v>
      </c>
      <c r="H15" s="207"/>
    </row>
    <row r="16" spans="1:15">
      <c r="A16" s="2" t="s">
        <v>41</v>
      </c>
      <c r="B16" s="23">
        <v>1015</v>
      </c>
      <c r="C16" s="192">
        <v>3109</v>
      </c>
      <c r="D16" s="192">
        <v>5596</v>
      </c>
      <c r="E16" s="192">
        <f>695+3204</f>
        <v>3899</v>
      </c>
      <c r="F16" s="202">
        <f t="shared" si="0"/>
        <v>-1697</v>
      </c>
      <c r="G16" s="203">
        <f t="shared" si="1"/>
        <v>69.674767691208004</v>
      </c>
      <c r="H16" s="207"/>
    </row>
    <row r="17" spans="1:10" ht="62">
      <c r="A17" s="2" t="s">
        <v>258</v>
      </c>
      <c r="B17" s="23">
        <v>1016</v>
      </c>
      <c r="C17" s="192">
        <v>272</v>
      </c>
      <c r="D17" s="192">
        <v>34</v>
      </c>
      <c r="E17" s="192">
        <v>47</v>
      </c>
      <c r="F17" s="202">
        <f t="shared" si="0"/>
        <v>13</v>
      </c>
      <c r="G17" s="203">
        <f t="shared" si="1"/>
        <v>138.23529411764704</v>
      </c>
      <c r="H17" s="207"/>
    </row>
    <row r="18" spans="1:10" ht="31">
      <c r="A18" s="2" t="s">
        <v>64</v>
      </c>
      <c r="B18" s="23">
        <v>1017</v>
      </c>
      <c r="C18" s="192">
        <v>794</v>
      </c>
      <c r="D18" s="192">
        <v>923</v>
      </c>
      <c r="E18" s="192">
        <f>208+817</f>
        <v>1025</v>
      </c>
      <c r="F18" s="202">
        <f t="shared" si="0"/>
        <v>102</v>
      </c>
      <c r="G18" s="203">
        <f t="shared" si="1"/>
        <v>111.05092091007585</v>
      </c>
      <c r="H18" s="207"/>
    </row>
    <row r="19" spans="1:10">
      <c r="A19" s="2" t="s">
        <v>123</v>
      </c>
      <c r="B19" s="23">
        <v>1018</v>
      </c>
      <c r="C19" s="192">
        <f>SUM(C20:C30)</f>
        <v>2454</v>
      </c>
      <c r="D19" s="192">
        <v>5079</v>
      </c>
      <c r="E19" s="192">
        <f>SUM(E20:E30)</f>
        <v>6212</v>
      </c>
      <c r="F19" s="202">
        <f t="shared" si="0"/>
        <v>1133</v>
      </c>
      <c r="G19" s="203">
        <f t="shared" si="1"/>
        <v>122.30754085449891</v>
      </c>
      <c r="H19" s="207"/>
    </row>
    <row r="20" spans="1:10">
      <c r="A20" s="208" t="s">
        <v>390</v>
      </c>
      <c r="B20" s="23" t="s">
        <v>384</v>
      </c>
      <c r="C20" s="40">
        <v>315</v>
      </c>
      <c r="D20" s="40">
        <v>353</v>
      </c>
      <c r="E20" s="192">
        <v>293</v>
      </c>
      <c r="F20" s="192">
        <f t="shared" si="0"/>
        <v>-60</v>
      </c>
      <c r="G20" s="209"/>
      <c r="H20" s="207"/>
    </row>
    <row r="21" spans="1:10">
      <c r="A21" s="208" t="s">
        <v>391</v>
      </c>
      <c r="B21" s="23" t="s">
        <v>385</v>
      </c>
      <c r="C21" s="40">
        <v>71</v>
      </c>
      <c r="D21" s="40">
        <v>709</v>
      </c>
      <c r="E21" s="192">
        <f>22+49+207</f>
        <v>278</v>
      </c>
      <c r="F21" s="192">
        <f t="shared" si="0"/>
        <v>-431</v>
      </c>
      <c r="G21" s="209"/>
      <c r="H21" s="207"/>
    </row>
    <row r="22" spans="1:10" ht="46.5">
      <c r="A22" s="208" t="s">
        <v>488</v>
      </c>
      <c r="B22" s="23" t="s">
        <v>386</v>
      </c>
      <c r="C22" s="40">
        <v>129</v>
      </c>
      <c r="D22" s="40">
        <v>267</v>
      </c>
      <c r="E22" s="192">
        <f>269+1+23+2</f>
        <v>295</v>
      </c>
      <c r="F22" s="192">
        <f t="shared" si="0"/>
        <v>28</v>
      </c>
      <c r="G22" s="209"/>
      <c r="H22" s="207"/>
    </row>
    <row r="23" spans="1:10">
      <c r="A23" s="208" t="s">
        <v>471</v>
      </c>
      <c r="B23" s="23" t="s">
        <v>387</v>
      </c>
      <c r="C23" s="40">
        <v>85</v>
      </c>
      <c r="D23" s="40">
        <v>379</v>
      </c>
      <c r="E23" s="192">
        <v>22</v>
      </c>
      <c r="F23" s="192">
        <f t="shared" si="0"/>
        <v>-357</v>
      </c>
      <c r="G23" s="209"/>
      <c r="H23" s="207"/>
    </row>
    <row r="24" spans="1:10">
      <c r="A24" s="208" t="s">
        <v>472</v>
      </c>
      <c r="B24" s="23" t="s">
        <v>388</v>
      </c>
      <c r="C24" s="40">
        <v>65</v>
      </c>
      <c r="D24" s="40">
        <v>50</v>
      </c>
      <c r="E24" s="192">
        <v>31</v>
      </c>
      <c r="F24" s="192">
        <f t="shared" si="0"/>
        <v>-19</v>
      </c>
      <c r="G24" s="209"/>
      <c r="H24" s="207"/>
    </row>
    <row r="25" spans="1:10">
      <c r="A25" s="208" t="s">
        <v>392</v>
      </c>
      <c r="B25" s="23" t="s">
        <v>389</v>
      </c>
      <c r="C25" s="40">
        <v>785</v>
      </c>
      <c r="D25" s="40">
        <v>1835.5</v>
      </c>
      <c r="E25" s="192">
        <f>1594+314</f>
        <v>1908</v>
      </c>
      <c r="F25" s="192">
        <f t="shared" si="0"/>
        <v>72.5</v>
      </c>
      <c r="G25" s="209"/>
      <c r="H25" s="207"/>
    </row>
    <row r="26" spans="1:10">
      <c r="A26" s="208" t="s">
        <v>473</v>
      </c>
      <c r="B26" s="23" t="s">
        <v>393</v>
      </c>
      <c r="C26" s="40">
        <v>8</v>
      </c>
      <c r="D26" s="40">
        <v>31</v>
      </c>
      <c r="E26" s="192">
        <v>11</v>
      </c>
      <c r="F26" s="192">
        <f t="shared" si="0"/>
        <v>-20</v>
      </c>
      <c r="G26" s="209"/>
      <c r="H26" s="207"/>
    </row>
    <row r="27" spans="1:10">
      <c r="A27" s="208" t="s">
        <v>516</v>
      </c>
      <c r="B27" s="23" t="s">
        <v>395</v>
      </c>
      <c r="C27" s="40">
        <v>996</v>
      </c>
      <c r="D27" s="40">
        <v>10</v>
      </c>
      <c r="E27" s="192"/>
      <c r="F27" s="192">
        <f t="shared" si="0"/>
        <v>-10</v>
      </c>
      <c r="G27" s="209"/>
      <c r="H27" s="207"/>
    </row>
    <row r="28" spans="1:10" ht="31">
      <c r="A28" s="208" t="s">
        <v>394</v>
      </c>
      <c r="B28" s="23" t="s">
        <v>514</v>
      </c>
      <c r="C28" s="40"/>
      <c r="D28" s="40">
        <v>1394.5</v>
      </c>
      <c r="E28" s="77">
        <v>3075</v>
      </c>
      <c r="F28" s="192">
        <f t="shared" si="0"/>
        <v>1680.5</v>
      </c>
      <c r="G28" s="209"/>
      <c r="H28" s="207"/>
    </row>
    <row r="29" spans="1:10" ht="31">
      <c r="A29" s="208" t="s">
        <v>524</v>
      </c>
      <c r="B29" s="23" t="s">
        <v>515</v>
      </c>
      <c r="C29" s="40"/>
      <c r="D29" s="40">
        <v>67</v>
      </c>
      <c r="E29" s="192">
        <v>11</v>
      </c>
      <c r="F29" s="192">
        <f t="shared" ref="F29" si="2">E29-D29</f>
        <v>-56</v>
      </c>
      <c r="G29" s="209"/>
      <c r="H29" s="207"/>
    </row>
    <row r="30" spans="1:10">
      <c r="A30" s="208" t="s">
        <v>535</v>
      </c>
      <c r="B30" s="23" t="s">
        <v>534</v>
      </c>
      <c r="C30" s="40"/>
      <c r="D30" s="40"/>
      <c r="E30" s="192">
        <v>288</v>
      </c>
      <c r="F30" s="192">
        <f t="shared" si="0"/>
        <v>288</v>
      </c>
      <c r="G30" s="209"/>
      <c r="H30" s="207"/>
    </row>
    <row r="31" spans="1:10" s="32" customFormat="1">
      <c r="A31" s="29" t="s">
        <v>23</v>
      </c>
      <c r="B31" s="200">
        <v>1020</v>
      </c>
      <c r="C31" s="205">
        <f>C9-C11</f>
        <v>6402</v>
      </c>
      <c r="D31" s="205">
        <f>D9-D11</f>
        <v>12873</v>
      </c>
      <c r="E31" s="205">
        <f>E9-E11</f>
        <v>-8959.7999999999993</v>
      </c>
      <c r="F31" s="202">
        <f t="shared" si="0"/>
        <v>-21832.799999999999</v>
      </c>
      <c r="G31" s="203">
        <f>E31/D31*100</f>
        <v>-69.60149149382427</v>
      </c>
      <c r="H31" s="210"/>
      <c r="I31" s="32">
        <v>-8960</v>
      </c>
      <c r="J31" s="97">
        <f>E31-I31</f>
        <v>0.2000000000007276</v>
      </c>
    </row>
    <row r="32" spans="1:10" ht="30">
      <c r="A32" s="29" t="s">
        <v>214</v>
      </c>
      <c r="B32" s="200">
        <v>1030</v>
      </c>
      <c r="C32" s="40"/>
      <c r="D32" s="40"/>
      <c r="E32" s="201">
        <f>E33</f>
        <v>21034</v>
      </c>
      <c r="F32" s="202">
        <f t="shared" si="0"/>
        <v>21034</v>
      </c>
      <c r="G32" s="203"/>
      <c r="H32" s="204"/>
    </row>
    <row r="33" spans="1:10" ht="31">
      <c r="A33" s="2" t="s">
        <v>564</v>
      </c>
      <c r="B33" s="42" t="s">
        <v>451</v>
      </c>
      <c r="C33" s="211"/>
      <c r="D33" s="211"/>
      <c r="E33" s="202">
        <v>21034</v>
      </c>
      <c r="F33" s="202"/>
      <c r="G33" s="203"/>
      <c r="H33" s="204"/>
    </row>
    <row r="34" spans="1:10">
      <c r="A34" s="2" t="s">
        <v>215</v>
      </c>
      <c r="B34" s="42">
        <v>1031</v>
      </c>
      <c r="C34" s="211"/>
      <c r="D34" s="211"/>
      <c r="E34" s="202"/>
      <c r="F34" s="202"/>
      <c r="G34" s="203"/>
      <c r="H34" s="204"/>
    </row>
    <row r="35" spans="1:10">
      <c r="A35" s="29" t="s">
        <v>224</v>
      </c>
      <c r="B35" s="200">
        <v>1040</v>
      </c>
      <c r="C35" s="205">
        <v>5731</v>
      </c>
      <c r="D35" s="212">
        <f>SUM(D36:D57)</f>
        <v>7414</v>
      </c>
      <c r="E35" s="212">
        <f>SUM(E36:E57)</f>
        <v>6954.4</v>
      </c>
      <c r="F35" s="201">
        <f>E35-D35</f>
        <v>-459.60000000000036</v>
      </c>
      <c r="G35" s="213">
        <f>E35/D35*100</f>
        <v>93.800917183706503</v>
      </c>
      <c r="H35" s="206"/>
      <c r="I35" s="7">
        <v>6954</v>
      </c>
      <c r="J35" s="77">
        <f>E35-I35</f>
        <v>0.3999999999996362</v>
      </c>
    </row>
    <row r="36" spans="1:10" ht="31">
      <c r="A36" s="2" t="s">
        <v>107</v>
      </c>
      <c r="B36" s="42">
        <v>1041</v>
      </c>
      <c r="C36" s="211"/>
      <c r="D36" s="211"/>
      <c r="E36" s="214"/>
      <c r="F36" s="202"/>
      <c r="G36" s="203"/>
      <c r="H36" s="204"/>
    </row>
    <row r="37" spans="1:10">
      <c r="A37" s="2" t="s">
        <v>205</v>
      </c>
      <c r="B37" s="42">
        <v>1042</v>
      </c>
      <c r="C37" s="211"/>
      <c r="D37" s="211"/>
      <c r="E37" s="214"/>
      <c r="F37" s="202">
        <f>E37-D37</f>
        <v>0</v>
      </c>
      <c r="G37" s="203" t="e">
        <f>E37/D37*100</f>
        <v>#DIV/0!</v>
      </c>
      <c r="H37" s="204"/>
    </row>
    <row r="38" spans="1:10">
      <c r="A38" s="2" t="s">
        <v>63</v>
      </c>
      <c r="B38" s="42">
        <v>1043</v>
      </c>
      <c r="C38" s="211"/>
      <c r="D38" s="211">
        <v>0</v>
      </c>
      <c r="E38" s="214"/>
      <c r="F38" s="202"/>
      <c r="G38" s="203"/>
      <c r="H38" s="204"/>
    </row>
    <row r="39" spans="1:10">
      <c r="A39" s="2" t="s">
        <v>21</v>
      </c>
      <c r="B39" s="42">
        <v>1044</v>
      </c>
      <c r="C39" s="211"/>
      <c r="D39" s="211"/>
      <c r="E39" s="214"/>
      <c r="F39" s="202"/>
      <c r="G39" s="203"/>
      <c r="H39" s="204"/>
    </row>
    <row r="40" spans="1:10">
      <c r="A40" s="2" t="s">
        <v>22</v>
      </c>
      <c r="B40" s="42">
        <v>1045</v>
      </c>
      <c r="C40" s="211"/>
      <c r="D40" s="211"/>
      <c r="E40" s="214"/>
      <c r="F40" s="202"/>
      <c r="G40" s="203"/>
      <c r="H40" s="204"/>
    </row>
    <row r="41" spans="1:10">
      <c r="A41" s="2" t="s">
        <v>38</v>
      </c>
      <c r="B41" s="42">
        <v>1046</v>
      </c>
      <c r="C41" s="211">
        <v>2</v>
      </c>
      <c r="D41" s="211">
        <v>5</v>
      </c>
      <c r="E41" s="214"/>
      <c r="F41" s="202">
        <f t="shared" ref="F41:F44" si="3">E41-D41</f>
        <v>-5</v>
      </c>
      <c r="G41" s="203">
        <f>E41/D41*100</f>
        <v>0</v>
      </c>
      <c r="H41" s="204"/>
    </row>
    <row r="42" spans="1:10">
      <c r="A42" s="2" t="s">
        <v>39</v>
      </c>
      <c r="B42" s="42">
        <v>1047</v>
      </c>
      <c r="C42" s="211">
        <v>15</v>
      </c>
      <c r="D42" s="211">
        <v>15</v>
      </c>
      <c r="E42" s="214">
        <v>6</v>
      </c>
      <c r="F42" s="202">
        <f t="shared" si="3"/>
        <v>-9</v>
      </c>
      <c r="G42" s="203">
        <f t="shared" ref="G42:G44" si="4">E42/D42*100</f>
        <v>40</v>
      </c>
      <c r="H42" s="204"/>
    </row>
    <row r="43" spans="1:10">
      <c r="A43" s="2" t="s">
        <v>40</v>
      </c>
      <c r="B43" s="42">
        <v>1048</v>
      </c>
      <c r="C43" s="211">
        <v>4008</v>
      </c>
      <c r="D43" s="211">
        <v>5070</v>
      </c>
      <c r="E43" s="214">
        <v>4072</v>
      </c>
      <c r="F43" s="202">
        <f t="shared" si="3"/>
        <v>-998</v>
      </c>
      <c r="G43" s="203">
        <f t="shared" si="4"/>
        <v>80.315581854043387</v>
      </c>
      <c r="H43" s="204"/>
    </row>
    <row r="44" spans="1:10">
      <c r="A44" s="2" t="s">
        <v>41</v>
      </c>
      <c r="B44" s="42">
        <v>1049</v>
      </c>
      <c r="C44" s="211">
        <v>919</v>
      </c>
      <c r="D44" s="211">
        <v>1115</v>
      </c>
      <c r="E44" s="214">
        <v>912</v>
      </c>
      <c r="F44" s="202">
        <f t="shared" si="3"/>
        <v>-203</v>
      </c>
      <c r="G44" s="203">
        <f t="shared" si="4"/>
        <v>81.793721973094165</v>
      </c>
      <c r="H44" s="204"/>
    </row>
    <row r="45" spans="1:10" ht="46.5">
      <c r="A45" s="2" t="s">
        <v>42</v>
      </c>
      <c r="B45" s="42">
        <v>1050</v>
      </c>
      <c r="C45" s="211">
        <v>44</v>
      </c>
      <c r="D45" s="211">
        <v>46</v>
      </c>
      <c r="E45" s="214">
        <v>112</v>
      </c>
      <c r="F45" s="202">
        <f>E45-D44</f>
        <v>-1003</v>
      </c>
      <c r="G45" s="203">
        <f>E45/D44*100</f>
        <v>10.044843049327353</v>
      </c>
      <c r="H45" s="204"/>
    </row>
    <row r="46" spans="1:10" ht="46.5">
      <c r="A46" s="2" t="s">
        <v>43</v>
      </c>
      <c r="B46" s="42">
        <v>1051</v>
      </c>
      <c r="C46" s="211">
        <v>0</v>
      </c>
      <c r="E46" s="214"/>
      <c r="F46" s="202">
        <f>E46-D45</f>
        <v>-46</v>
      </c>
      <c r="G46" s="203"/>
      <c r="H46" s="204"/>
    </row>
    <row r="47" spans="1:10" ht="31">
      <c r="A47" s="2" t="s">
        <v>44</v>
      </c>
      <c r="B47" s="42">
        <v>1052</v>
      </c>
      <c r="C47" s="211"/>
      <c r="D47" s="211"/>
      <c r="E47" s="214"/>
      <c r="F47" s="202"/>
      <c r="G47" s="203"/>
      <c r="H47" s="204"/>
    </row>
    <row r="48" spans="1:10" ht="31">
      <c r="A48" s="2" t="s">
        <v>45</v>
      </c>
      <c r="B48" s="42">
        <v>1053</v>
      </c>
      <c r="C48" s="211"/>
      <c r="D48" s="211"/>
      <c r="E48" s="214"/>
      <c r="F48" s="202"/>
      <c r="G48" s="203"/>
      <c r="H48" s="204"/>
    </row>
    <row r="49" spans="1:8">
      <c r="A49" s="2" t="s">
        <v>46</v>
      </c>
      <c r="B49" s="42">
        <v>1054</v>
      </c>
      <c r="C49" s="211">
        <v>121</v>
      </c>
      <c r="D49" s="211">
        <v>50</v>
      </c>
      <c r="E49" s="214">
        <v>431</v>
      </c>
      <c r="F49" s="202">
        <f>E49-D48</f>
        <v>431</v>
      </c>
      <c r="G49" s="203" t="e">
        <f>E49/D48*100</f>
        <v>#DIV/0!</v>
      </c>
      <c r="H49" s="204"/>
    </row>
    <row r="50" spans="1:8">
      <c r="A50" s="2" t="s">
        <v>67</v>
      </c>
      <c r="B50" s="42">
        <v>1055</v>
      </c>
      <c r="C50" s="211">
        <v>35</v>
      </c>
      <c r="D50" s="211">
        <v>80</v>
      </c>
      <c r="E50" s="214">
        <v>18.399999999999999</v>
      </c>
      <c r="F50" s="202">
        <f>E50-D49</f>
        <v>-31.6</v>
      </c>
      <c r="G50" s="203">
        <f>E50/D49*100</f>
        <v>36.799999999999997</v>
      </c>
      <c r="H50" s="204"/>
    </row>
    <row r="51" spans="1:8">
      <c r="A51" s="2" t="s">
        <v>47</v>
      </c>
      <c r="B51" s="42">
        <v>1056</v>
      </c>
      <c r="C51" s="211">
        <v>40</v>
      </c>
      <c r="D51" s="211">
        <v>120</v>
      </c>
      <c r="E51" s="214"/>
      <c r="F51" s="202">
        <f>E51-D50</f>
        <v>-80</v>
      </c>
      <c r="G51" s="203">
        <f>E51/D50*100</f>
        <v>0</v>
      </c>
      <c r="H51" s="204"/>
    </row>
    <row r="52" spans="1:8">
      <c r="A52" s="2" t="s">
        <v>48</v>
      </c>
      <c r="B52" s="42">
        <v>1057</v>
      </c>
      <c r="C52" s="211"/>
      <c r="E52" s="214"/>
      <c r="F52" s="202"/>
      <c r="G52" s="203"/>
      <c r="H52" s="204"/>
    </row>
    <row r="53" spans="1:8" ht="31">
      <c r="A53" s="2" t="s">
        <v>49</v>
      </c>
      <c r="B53" s="42">
        <v>1058</v>
      </c>
      <c r="C53" s="211"/>
      <c r="D53" s="211"/>
      <c r="E53" s="214"/>
      <c r="F53" s="202"/>
      <c r="G53" s="203"/>
      <c r="H53" s="204"/>
    </row>
    <row r="54" spans="1:8" ht="31">
      <c r="A54" s="2" t="s">
        <v>50</v>
      </c>
      <c r="B54" s="42">
        <v>1059</v>
      </c>
      <c r="C54" s="211"/>
      <c r="D54" s="211"/>
      <c r="E54" s="214"/>
      <c r="F54" s="202"/>
      <c r="G54" s="203"/>
      <c r="H54" s="204"/>
    </row>
    <row r="55" spans="1:8" ht="50.5" customHeight="1">
      <c r="A55" s="2" t="s">
        <v>77</v>
      </c>
      <c r="B55" s="42">
        <v>1060</v>
      </c>
      <c r="D55" s="211"/>
      <c r="E55" s="214"/>
      <c r="F55" s="202">
        <f>E55-D55</f>
        <v>0</v>
      </c>
      <c r="G55" s="203" t="e">
        <f>E55/D55*100</f>
        <v>#DIV/0!</v>
      </c>
      <c r="H55" s="204"/>
    </row>
    <row r="56" spans="1:8">
      <c r="A56" s="2" t="s">
        <v>51</v>
      </c>
      <c r="B56" s="42">
        <v>1061</v>
      </c>
      <c r="C56" s="211"/>
      <c r="D56" s="211"/>
      <c r="E56" s="214">
        <v>200</v>
      </c>
      <c r="F56" s="202"/>
      <c r="G56" s="203"/>
      <c r="H56" s="204"/>
    </row>
    <row r="57" spans="1:8" ht="18" customHeight="1">
      <c r="A57" s="2" t="s">
        <v>111</v>
      </c>
      <c r="B57" s="42">
        <v>1062</v>
      </c>
      <c r="C57" s="215">
        <f>SUM(C58:C66)</f>
        <v>547</v>
      </c>
      <c r="D57" s="214">
        <f>SUM(D58:D66)</f>
        <v>913</v>
      </c>
      <c r="E57" s="214">
        <f>SUM(E58:E66)</f>
        <v>1203</v>
      </c>
      <c r="F57" s="202">
        <f>E57-D56</f>
        <v>1203</v>
      </c>
      <c r="G57" s="203" t="e">
        <f>E57/D56*100</f>
        <v>#DIV/0!</v>
      </c>
      <c r="H57" s="204"/>
    </row>
    <row r="58" spans="1:8">
      <c r="A58" s="2" t="s">
        <v>65</v>
      </c>
      <c r="B58" s="22" t="s">
        <v>396</v>
      </c>
      <c r="C58" s="216">
        <v>21</v>
      </c>
      <c r="D58" s="216">
        <v>120</v>
      </c>
      <c r="E58" s="217">
        <v>61</v>
      </c>
      <c r="F58" s="202"/>
      <c r="G58" s="203"/>
      <c r="H58" s="40"/>
    </row>
    <row r="59" spans="1:8">
      <c r="A59" s="2" t="s">
        <v>565</v>
      </c>
      <c r="B59" s="22" t="s">
        <v>397</v>
      </c>
      <c r="C59" s="216">
        <v>18</v>
      </c>
      <c r="D59" s="216">
        <v>50</v>
      </c>
      <c r="E59" s="217">
        <v>45</v>
      </c>
      <c r="F59" s="202"/>
      <c r="G59" s="203"/>
      <c r="H59" s="40"/>
    </row>
    <row r="60" spans="1:8">
      <c r="A60" s="2" t="s">
        <v>398</v>
      </c>
      <c r="B60" s="22" t="s">
        <v>399</v>
      </c>
      <c r="C60" s="216">
        <v>170</v>
      </c>
      <c r="D60" s="216">
        <v>170</v>
      </c>
      <c r="E60" s="217">
        <v>255</v>
      </c>
      <c r="F60" s="202"/>
      <c r="G60" s="203"/>
      <c r="H60" s="40"/>
    </row>
    <row r="61" spans="1:8">
      <c r="A61" s="2" t="s">
        <v>400</v>
      </c>
      <c r="B61" s="22" t="s">
        <v>401</v>
      </c>
      <c r="C61" s="216">
        <v>10</v>
      </c>
      <c r="D61" s="216">
        <v>86</v>
      </c>
      <c r="E61" s="217">
        <v>15</v>
      </c>
      <c r="F61" s="40"/>
      <c r="G61" s="40"/>
      <c r="H61" s="40"/>
    </row>
    <row r="62" spans="1:8">
      <c r="A62" s="2" t="s">
        <v>402</v>
      </c>
      <c r="B62" s="22" t="s">
        <v>403</v>
      </c>
      <c r="C62" s="216">
        <v>0</v>
      </c>
      <c r="D62" s="216">
        <v>7</v>
      </c>
      <c r="E62" s="217">
        <v>5</v>
      </c>
      <c r="F62" s="40"/>
      <c r="G62" s="40"/>
      <c r="H62" s="40"/>
    </row>
    <row r="63" spans="1:8">
      <c r="A63" s="2" t="s">
        <v>392</v>
      </c>
      <c r="B63" s="22" t="s">
        <v>404</v>
      </c>
      <c r="C63" s="216">
        <v>308</v>
      </c>
      <c r="D63" s="216">
        <v>355</v>
      </c>
      <c r="E63" s="217">
        <v>555</v>
      </c>
      <c r="F63" s="40"/>
      <c r="G63" s="40"/>
      <c r="H63" s="40"/>
    </row>
    <row r="64" spans="1:8">
      <c r="A64" s="2" t="s">
        <v>405</v>
      </c>
      <c r="B64" s="22" t="s">
        <v>406</v>
      </c>
      <c r="C64" s="216">
        <v>2</v>
      </c>
      <c r="D64" s="216">
        <v>5</v>
      </c>
      <c r="E64" s="217"/>
      <c r="F64" s="40"/>
      <c r="G64" s="40"/>
      <c r="H64" s="40"/>
    </row>
    <row r="65" spans="1:10">
      <c r="A65" s="2" t="s">
        <v>517</v>
      </c>
      <c r="B65" s="22" t="s">
        <v>458</v>
      </c>
      <c r="C65" s="216">
        <v>15</v>
      </c>
      <c r="D65" s="216">
        <v>120</v>
      </c>
      <c r="E65" s="217">
        <f>262</f>
        <v>262</v>
      </c>
      <c r="F65" s="40"/>
      <c r="G65" s="40"/>
      <c r="H65" s="40"/>
    </row>
    <row r="66" spans="1:10">
      <c r="A66" s="2" t="s">
        <v>536</v>
      </c>
      <c r="B66" s="22" t="s">
        <v>477</v>
      </c>
      <c r="C66" s="216">
        <v>3</v>
      </c>
      <c r="E66" s="217">
        <v>5</v>
      </c>
      <c r="F66" s="40"/>
      <c r="G66" s="40"/>
      <c r="H66" s="40"/>
    </row>
    <row r="67" spans="1:10">
      <c r="A67" s="29" t="s">
        <v>225</v>
      </c>
      <c r="B67" s="200">
        <v>1070</v>
      </c>
      <c r="C67" s="218">
        <v>1955</v>
      </c>
      <c r="D67" s="201">
        <f>SUM(D68:D73)</f>
        <v>4535</v>
      </c>
      <c r="E67" s="201">
        <f>SUM(E68:E73)</f>
        <v>2514</v>
      </c>
      <c r="F67" s="202">
        <f t="shared" ref="F67:F73" si="5">E67-D67</f>
        <v>-2021</v>
      </c>
      <c r="G67" s="203">
        <f t="shared" ref="G67:G73" si="6">E67/D67*100</f>
        <v>55.435501653803755</v>
      </c>
      <c r="H67" s="204"/>
      <c r="I67" s="7">
        <v>2514</v>
      </c>
      <c r="J67" s="77">
        <f>E67-I67</f>
        <v>0</v>
      </c>
    </row>
    <row r="68" spans="1:10">
      <c r="A68" s="2" t="s">
        <v>185</v>
      </c>
      <c r="B68" s="42">
        <v>1071</v>
      </c>
      <c r="C68" s="216"/>
      <c r="D68" s="216"/>
      <c r="E68" s="202"/>
      <c r="F68" s="202">
        <f t="shared" si="5"/>
        <v>0</v>
      </c>
      <c r="G68" s="228" t="e">
        <f t="shared" si="6"/>
        <v>#DIV/0!</v>
      </c>
      <c r="H68" s="204"/>
    </row>
    <row r="69" spans="1:10">
      <c r="A69" s="2" t="s">
        <v>186</v>
      </c>
      <c r="B69" s="42">
        <v>1072</v>
      </c>
      <c r="C69" s="216"/>
      <c r="D69" s="216"/>
      <c r="E69" s="202"/>
      <c r="F69" s="202">
        <f t="shared" si="5"/>
        <v>0</v>
      </c>
      <c r="G69" s="228" t="e">
        <f t="shared" si="6"/>
        <v>#DIV/0!</v>
      </c>
      <c r="H69" s="204"/>
    </row>
    <row r="70" spans="1:10">
      <c r="A70" s="2" t="s">
        <v>40</v>
      </c>
      <c r="B70" s="42">
        <v>1073</v>
      </c>
      <c r="C70" s="216">
        <v>1167</v>
      </c>
      <c r="D70" s="216">
        <v>3170</v>
      </c>
      <c r="E70" s="202">
        <v>1509</v>
      </c>
      <c r="F70" s="202">
        <f t="shared" si="5"/>
        <v>-1661</v>
      </c>
      <c r="G70" s="203">
        <f t="shared" si="6"/>
        <v>47.602523659305994</v>
      </c>
      <c r="H70" s="204"/>
    </row>
    <row r="71" spans="1:10" ht="31">
      <c r="A71" s="2" t="s">
        <v>64</v>
      </c>
      <c r="B71" s="42">
        <v>1074</v>
      </c>
      <c r="C71" s="216">
        <v>31</v>
      </c>
      <c r="D71" s="216">
        <v>35</v>
      </c>
      <c r="E71" s="202">
        <v>77</v>
      </c>
      <c r="F71" s="202">
        <f t="shared" si="5"/>
        <v>42</v>
      </c>
      <c r="G71" s="203">
        <f t="shared" si="6"/>
        <v>220.00000000000003</v>
      </c>
      <c r="H71" s="204"/>
    </row>
    <row r="72" spans="1:10">
      <c r="A72" s="2" t="s">
        <v>80</v>
      </c>
      <c r="B72" s="42">
        <v>1075</v>
      </c>
      <c r="C72" s="216"/>
      <c r="D72" s="216"/>
      <c r="E72" s="202"/>
      <c r="F72" s="202">
        <f t="shared" si="5"/>
        <v>0</v>
      </c>
      <c r="G72" s="228" t="e">
        <f t="shared" si="6"/>
        <v>#DIV/0!</v>
      </c>
      <c r="H72" s="204"/>
    </row>
    <row r="73" spans="1:10">
      <c r="A73" s="2" t="s">
        <v>124</v>
      </c>
      <c r="B73" s="42">
        <v>1076</v>
      </c>
      <c r="C73" s="211">
        <v>757</v>
      </c>
      <c r="D73" s="202">
        <f>SUM(D74:D79)</f>
        <v>1330</v>
      </c>
      <c r="E73" s="202">
        <f>SUM(E74:E79)</f>
        <v>928</v>
      </c>
      <c r="F73" s="202">
        <f t="shared" si="5"/>
        <v>-402</v>
      </c>
      <c r="G73" s="203">
        <f t="shared" si="6"/>
        <v>69.774436090225564</v>
      </c>
      <c r="H73" s="204"/>
    </row>
    <row r="74" spans="1:10">
      <c r="A74" s="2" t="s">
        <v>41</v>
      </c>
      <c r="B74" s="22" t="s">
        <v>407</v>
      </c>
      <c r="C74" s="216">
        <v>262</v>
      </c>
      <c r="D74" s="216">
        <v>697</v>
      </c>
      <c r="E74" s="209">
        <v>317</v>
      </c>
      <c r="F74" s="40"/>
      <c r="G74" s="40"/>
      <c r="H74" s="40"/>
    </row>
    <row r="75" spans="1:10">
      <c r="A75" s="2" t="s">
        <v>392</v>
      </c>
      <c r="B75" s="22" t="s">
        <v>408</v>
      </c>
      <c r="C75" s="216">
        <v>45</v>
      </c>
      <c r="D75" s="216">
        <v>222</v>
      </c>
      <c r="E75" s="192">
        <v>102</v>
      </c>
      <c r="F75" s="40"/>
      <c r="G75" s="40"/>
      <c r="H75" s="40"/>
    </row>
    <row r="76" spans="1:10">
      <c r="A76" s="2" t="s">
        <v>409</v>
      </c>
      <c r="B76" s="22" t="s">
        <v>410</v>
      </c>
      <c r="C76" s="216">
        <v>146</v>
      </c>
      <c r="D76" s="216">
        <v>120</v>
      </c>
      <c r="E76" s="192">
        <v>125</v>
      </c>
      <c r="F76" s="40"/>
      <c r="G76" s="40"/>
      <c r="H76" s="40"/>
    </row>
    <row r="77" spans="1:10">
      <c r="A77" s="2" t="s">
        <v>65</v>
      </c>
      <c r="B77" s="22" t="s">
        <v>411</v>
      </c>
      <c r="C77" s="216">
        <v>184</v>
      </c>
      <c r="D77" s="216">
        <v>175</v>
      </c>
      <c r="E77" s="209">
        <v>199</v>
      </c>
      <c r="F77" s="40"/>
      <c r="G77" s="40"/>
      <c r="H77" s="40"/>
    </row>
    <row r="78" spans="1:10">
      <c r="A78" s="2" t="s">
        <v>568</v>
      </c>
      <c r="B78" s="22" t="s">
        <v>412</v>
      </c>
      <c r="C78" s="216"/>
      <c r="D78" s="216">
        <v>0</v>
      </c>
      <c r="E78" s="209">
        <v>0</v>
      </c>
      <c r="F78" s="40"/>
      <c r="G78" s="40"/>
      <c r="H78" s="40"/>
    </row>
    <row r="79" spans="1:10">
      <c r="A79" s="2" t="s">
        <v>413</v>
      </c>
      <c r="B79" s="22" t="s">
        <v>414</v>
      </c>
      <c r="C79" s="216">
        <v>120</v>
      </c>
      <c r="D79" s="209">
        <f>SUM(D80:D86)</f>
        <v>116</v>
      </c>
      <c r="E79" s="209">
        <f>SUM(E80:E86)</f>
        <v>185</v>
      </c>
      <c r="F79" s="40"/>
      <c r="G79" s="40"/>
      <c r="H79" s="40"/>
    </row>
    <row r="80" spans="1:10">
      <c r="A80" s="2" t="s">
        <v>415</v>
      </c>
      <c r="B80" s="22" t="s">
        <v>416</v>
      </c>
      <c r="C80" s="216"/>
      <c r="D80" s="216">
        <v>3</v>
      </c>
      <c r="E80" s="192"/>
      <c r="F80" s="40"/>
      <c r="G80" s="40"/>
      <c r="H80" s="40"/>
    </row>
    <row r="81" spans="1:10">
      <c r="A81" s="2" t="s">
        <v>402</v>
      </c>
      <c r="B81" s="22" t="s">
        <v>417</v>
      </c>
      <c r="C81" s="216">
        <v>6</v>
      </c>
      <c r="D81" s="216">
        <v>10</v>
      </c>
      <c r="E81" s="192">
        <v>6</v>
      </c>
      <c r="F81" s="40"/>
      <c r="G81" s="40"/>
      <c r="H81" s="40"/>
    </row>
    <row r="82" spans="1:10">
      <c r="A82" s="2" t="s">
        <v>532</v>
      </c>
      <c r="B82" s="22" t="s">
        <v>418</v>
      </c>
      <c r="C82" s="216">
        <v>5</v>
      </c>
      <c r="D82" s="216">
        <v>7</v>
      </c>
      <c r="E82" s="192">
        <v>7</v>
      </c>
      <c r="F82" s="40"/>
      <c r="G82" s="40"/>
      <c r="H82" s="40"/>
    </row>
    <row r="83" spans="1:10">
      <c r="A83" s="2" t="s">
        <v>420</v>
      </c>
      <c r="B83" s="22" t="s">
        <v>419</v>
      </c>
      <c r="C83" s="216">
        <v>2</v>
      </c>
      <c r="D83" s="216">
        <v>2</v>
      </c>
      <c r="E83" s="192">
        <v>5</v>
      </c>
      <c r="F83" s="40"/>
      <c r="G83" s="40"/>
      <c r="H83" s="40"/>
    </row>
    <row r="84" spans="1:10">
      <c r="A84" s="2" t="s">
        <v>46</v>
      </c>
      <c r="B84" s="22" t="s">
        <v>421</v>
      </c>
      <c r="C84" s="216">
        <v>80</v>
      </c>
      <c r="D84" s="216">
        <v>94</v>
      </c>
      <c r="E84" s="192">
        <v>135</v>
      </c>
      <c r="F84" s="40"/>
      <c r="G84" s="40"/>
      <c r="H84" s="40"/>
    </row>
    <row r="85" spans="1:10">
      <c r="A85" s="2" t="s">
        <v>537</v>
      </c>
      <c r="B85" s="22" t="s">
        <v>538</v>
      </c>
      <c r="C85" s="216">
        <v>25</v>
      </c>
      <c r="D85" s="216">
        <v>0</v>
      </c>
      <c r="E85" s="192">
        <v>13</v>
      </c>
      <c r="F85" s="40"/>
      <c r="G85" s="40"/>
      <c r="H85" s="40"/>
    </row>
    <row r="86" spans="1:10">
      <c r="A86" s="2" t="s">
        <v>566</v>
      </c>
      <c r="B86" s="22" t="s">
        <v>567</v>
      </c>
      <c r="C86" s="216">
        <v>3</v>
      </c>
      <c r="D86" s="216"/>
      <c r="E86" s="192">
        <v>19</v>
      </c>
      <c r="F86" s="40"/>
      <c r="G86" s="40"/>
      <c r="H86" s="40"/>
    </row>
    <row r="87" spans="1:10" ht="30">
      <c r="A87" s="219" t="s">
        <v>81</v>
      </c>
      <c r="B87" s="200">
        <v>1080</v>
      </c>
      <c r="C87" s="205">
        <v>96</v>
      </c>
      <c r="D87" s="205">
        <f>SUM(D88:D92)</f>
        <v>0</v>
      </c>
      <c r="E87" s="205">
        <f>SUM(E88:E92)</f>
        <v>3185</v>
      </c>
      <c r="F87" s="202">
        <f>E87-D87</f>
        <v>3185</v>
      </c>
      <c r="G87" s="228" t="e">
        <f>E87/D87*100</f>
        <v>#DIV/0!</v>
      </c>
      <c r="H87" s="206"/>
      <c r="I87" s="7">
        <v>3158</v>
      </c>
      <c r="J87" s="77">
        <f>E87-I87</f>
        <v>27</v>
      </c>
    </row>
    <row r="88" spans="1:10">
      <c r="A88" s="2" t="s">
        <v>73</v>
      </c>
      <c r="B88" s="42">
        <v>1081</v>
      </c>
      <c r="C88" s="40"/>
      <c r="D88" s="40"/>
      <c r="E88" s="202"/>
      <c r="F88" s="202"/>
      <c r="G88" s="203"/>
      <c r="H88" s="204"/>
    </row>
    <row r="89" spans="1:10">
      <c r="A89" s="2" t="s">
        <v>52</v>
      </c>
      <c r="B89" s="42">
        <v>1082</v>
      </c>
      <c r="C89" s="40"/>
      <c r="D89" s="40"/>
      <c r="E89" s="202"/>
      <c r="F89" s="202"/>
      <c r="G89" s="203"/>
      <c r="H89" s="204"/>
    </row>
    <row r="90" spans="1:10" ht="31">
      <c r="A90" s="2" t="s">
        <v>62</v>
      </c>
      <c r="B90" s="42">
        <v>1083</v>
      </c>
      <c r="C90" s="40"/>
      <c r="D90" s="40">
        <v>0</v>
      </c>
      <c r="E90" s="202"/>
      <c r="F90" s="202"/>
      <c r="G90" s="203"/>
      <c r="H90" s="204"/>
    </row>
    <row r="91" spans="1:10">
      <c r="A91" s="2" t="s">
        <v>215</v>
      </c>
      <c r="B91" s="42">
        <v>1084</v>
      </c>
      <c r="C91" s="40"/>
      <c r="D91" s="40"/>
      <c r="E91" s="202"/>
      <c r="F91" s="202"/>
      <c r="G91" s="203"/>
      <c r="H91" s="204"/>
    </row>
    <row r="92" spans="1:10">
      <c r="A92" s="2" t="s">
        <v>259</v>
      </c>
      <c r="B92" s="42">
        <v>1085</v>
      </c>
      <c r="C92" s="202">
        <v>96</v>
      </c>
      <c r="D92" s="202">
        <f>SUM(D93:D98)</f>
        <v>0</v>
      </c>
      <c r="E92" s="202">
        <f>SUM(E93:E98)</f>
        <v>3185</v>
      </c>
      <c r="F92" s="202">
        <f>E92-D92</f>
        <v>3185</v>
      </c>
      <c r="G92" s="228" t="e">
        <f>E92/D92*100</f>
        <v>#DIV/0!</v>
      </c>
      <c r="H92" s="204"/>
      <c r="I92" s="7">
        <v>3185</v>
      </c>
      <c r="J92" s="77">
        <f>E92-I92</f>
        <v>0</v>
      </c>
    </row>
    <row r="93" spans="1:10">
      <c r="A93" s="2" t="s">
        <v>422</v>
      </c>
      <c r="B93" s="220" t="s">
        <v>423</v>
      </c>
      <c r="C93" s="40">
        <v>50</v>
      </c>
      <c r="D93" s="40">
        <v>0</v>
      </c>
      <c r="E93" s="192">
        <v>57</v>
      </c>
      <c r="F93" s="40"/>
      <c r="G93" s="40"/>
      <c r="H93" s="40"/>
    </row>
    <row r="94" spans="1:10">
      <c r="A94" s="2" t="s">
        <v>499</v>
      </c>
      <c r="B94" s="220" t="s">
        <v>424</v>
      </c>
      <c r="C94" s="40">
        <v>43</v>
      </c>
      <c r="D94" s="40"/>
      <c r="E94" s="192">
        <v>36</v>
      </c>
      <c r="F94" s="40"/>
      <c r="G94" s="40"/>
      <c r="H94" s="40"/>
    </row>
    <row r="95" spans="1:10">
      <c r="A95" s="2" t="s">
        <v>434</v>
      </c>
      <c r="B95" s="220" t="s">
        <v>425</v>
      </c>
      <c r="C95" s="40"/>
      <c r="D95" s="40"/>
      <c r="E95" s="209"/>
      <c r="F95" s="40"/>
      <c r="G95" s="40"/>
      <c r="H95" s="40"/>
    </row>
    <row r="96" spans="1:10">
      <c r="A96" s="2" t="s">
        <v>570</v>
      </c>
      <c r="B96" s="220" t="s">
        <v>426</v>
      </c>
      <c r="C96" s="40"/>
      <c r="D96" s="40"/>
      <c r="E96" s="192">
        <v>2874</v>
      </c>
      <c r="F96" s="40"/>
      <c r="G96" s="40"/>
      <c r="H96" s="40"/>
    </row>
    <row r="97" spans="1:10">
      <c r="A97" s="2" t="s">
        <v>427</v>
      </c>
      <c r="B97" s="220" t="s">
        <v>428</v>
      </c>
      <c r="C97" s="40">
        <v>3</v>
      </c>
      <c r="D97" s="40"/>
      <c r="E97" s="192"/>
      <c r="F97" s="40"/>
      <c r="G97" s="40"/>
      <c r="H97" s="40"/>
    </row>
    <row r="98" spans="1:10">
      <c r="A98" s="2" t="s">
        <v>569</v>
      </c>
      <c r="B98" s="220" t="s">
        <v>429</v>
      </c>
      <c r="C98" s="40"/>
      <c r="D98" s="40"/>
      <c r="E98" s="192">
        <v>218</v>
      </c>
      <c r="F98" s="40"/>
      <c r="G98" s="40"/>
      <c r="H98" s="40"/>
    </row>
    <row r="99" spans="1:10" s="32" customFormat="1" ht="30">
      <c r="A99" s="29" t="s">
        <v>4</v>
      </c>
      <c r="B99" s="200">
        <v>1100</v>
      </c>
      <c r="C99" s="205">
        <f>C31+C32-C35-C67-C87</f>
        <v>-1380</v>
      </c>
      <c r="D99" s="205">
        <f>D31+D32-D35-D67-D87</f>
        <v>924</v>
      </c>
      <c r="E99" s="205">
        <f>E31+E32-E35-E67-E87</f>
        <v>-579.19999999999891</v>
      </c>
      <c r="F99" s="202">
        <f>E99-D99</f>
        <v>-1503.1999999999989</v>
      </c>
      <c r="G99" s="203">
        <f>E99/D99*100</f>
        <v>-62.683982683982563</v>
      </c>
      <c r="H99" s="210"/>
      <c r="I99" s="7">
        <v>-579</v>
      </c>
      <c r="J99" s="77">
        <f>E99-I99</f>
        <v>-0.19999999999890861</v>
      </c>
    </row>
    <row r="100" spans="1:10">
      <c r="A100" s="2" t="s">
        <v>109</v>
      </c>
      <c r="B100" s="42">
        <v>1110</v>
      </c>
      <c r="C100" s="40"/>
      <c r="D100" s="40"/>
      <c r="E100" s="202"/>
      <c r="F100" s="202"/>
      <c r="G100" s="203"/>
      <c r="H100" s="204"/>
    </row>
    <row r="101" spans="1:10">
      <c r="A101" s="2" t="s">
        <v>110</v>
      </c>
      <c r="B101" s="42">
        <v>1120</v>
      </c>
      <c r="C101" s="40">
        <f>C102</f>
        <v>0</v>
      </c>
      <c r="D101" s="40"/>
      <c r="E101" s="202">
        <f>E102</f>
        <v>1</v>
      </c>
      <c r="F101" s="202"/>
      <c r="G101" s="203"/>
      <c r="H101" s="204"/>
    </row>
    <row r="102" spans="1:10">
      <c r="A102" s="2" t="s">
        <v>480</v>
      </c>
      <c r="B102" s="22" t="s">
        <v>430</v>
      </c>
      <c r="C102" s="40"/>
      <c r="D102" s="40"/>
      <c r="E102" s="192">
        <v>1</v>
      </c>
      <c r="F102" s="40"/>
      <c r="G102" s="40"/>
      <c r="H102" s="40"/>
    </row>
    <row r="103" spans="1:10">
      <c r="A103" s="2" t="s">
        <v>112</v>
      </c>
      <c r="B103" s="42">
        <v>1130</v>
      </c>
      <c r="C103" s="40">
        <f>C104</f>
        <v>0</v>
      </c>
      <c r="D103" s="40"/>
      <c r="E103" s="202"/>
      <c r="F103" s="202"/>
      <c r="G103" s="203"/>
      <c r="H103" s="204"/>
    </row>
    <row r="104" spans="1:10">
      <c r="A104" s="2" t="s">
        <v>464</v>
      </c>
      <c r="B104" s="42">
        <v>1140</v>
      </c>
      <c r="C104" s="40"/>
      <c r="D104" s="40"/>
      <c r="E104" s="202"/>
      <c r="F104" s="202"/>
      <c r="G104" s="203"/>
      <c r="H104" s="204"/>
    </row>
    <row r="105" spans="1:10">
      <c r="A105" s="2" t="s">
        <v>216</v>
      </c>
      <c r="B105" s="42">
        <v>1150</v>
      </c>
      <c r="C105" s="40">
        <v>1423</v>
      </c>
      <c r="D105" s="192">
        <f>SUM(D106:D109)</f>
        <v>1004</v>
      </c>
      <c r="E105" s="192">
        <f>SUM(E106:E109)</f>
        <v>1141</v>
      </c>
      <c r="F105" s="202">
        <f>E105-D105</f>
        <v>137</v>
      </c>
      <c r="G105" s="203">
        <f>E105/D105*100</f>
        <v>113.64541832669323</v>
      </c>
      <c r="H105" s="204"/>
      <c r="I105" s="7">
        <v>1141</v>
      </c>
      <c r="J105" s="77">
        <f>E105-I105</f>
        <v>0</v>
      </c>
    </row>
    <row r="106" spans="1:10">
      <c r="A106" s="2" t="s">
        <v>474</v>
      </c>
      <c r="B106" s="42" t="s">
        <v>431</v>
      </c>
      <c r="C106" s="40">
        <v>1423</v>
      </c>
      <c r="D106" s="40">
        <v>1004</v>
      </c>
      <c r="E106" s="221"/>
      <c r="F106" s="202"/>
      <c r="G106" s="203"/>
      <c r="H106" s="204"/>
    </row>
    <row r="107" spans="1:10">
      <c r="A107" s="2" t="s">
        <v>465</v>
      </c>
      <c r="B107" s="42" t="s">
        <v>454</v>
      </c>
      <c r="C107" s="40"/>
      <c r="D107" s="40">
        <v>0</v>
      </c>
      <c r="E107" s="221">
        <v>741</v>
      </c>
      <c r="F107" s="202"/>
      <c r="G107" s="203"/>
      <c r="H107" s="204"/>
    </row>
    <row r="108" spans="1:10" ht="31">
      <c r="A108" s="2" t="s">
        <v>455</v>
      </c>
      <c r="B108" s="42" t="s">
        <v>462</v>
      </c>
      <c r="C108" s="40"/>
      <c r="D108" s="40"/>
      <c r="E108" s="221"/>
      <c r="F108" s="202"/>
      <c r="G108" s="203"/>
      <c r="H108" s="204"/>
    </row>
    <row r="109" spans="1:10" ht="31">
      <c r="A109" s="2" t="s">
        <v>478</v>
      </c>
      <c r="B109" s="42" t="s">
        <v>479</v>
      </c>
      <c r="C109" s="40"/>
      <c r="D109" s="40"/>
      <c r="E109" s="221">
        <v>400</v>
      </c>
      <c r="F109" s="202"/>
      <c r="G109" s="203"/>
      <c r="H109" s="204"/>
    </row>
    <row r="110" spans="1:10">
      <c r="A110" s="2" t="s">
        <v>215</v>
      </c>
      <c r="B110" s="42">
        <v>1151</v>
      </c>
      <c r="C110" s="40"/>
      <c r="D110" s="40"/>
      <c r="E110" s="202"/>
      <c r="F110" s="202"/>
      <c r="G110" s="203"/>
      <c r="H110" s="204"/>
    </row>
    <row r="111" spans="1:10" ht="30">
      <c r="A111" s="29" t="s">
        <v>217</v>
      </c>
      <c r="B111" s="200">
        <v>1160</v>
      </c>
      <c r="C111" s="222">
        <v>33</v>
      </c>
      <c r="D111" s="201">
        <f>D112+D113</f>
        <v>0</v>
      </c>
      <c r="E111" s="201">
        <f>E112+E113</f>
        <v>256</v>
      </c>
      <c r="F111" s="201">
        <f>E111-D111</f>
        <v>256</v>
      </c>
      <c r="G111" s="229" t="e">
        <f>E111/D111*100</f>
        <v>#DIV/0!</v>
      </c>
      <c r="H111" s="223"/>
      <c r="I111" s="7">
        <v>256</v>
      </c>
      <c r="J111" s="77">
        <f>E111-I111</f>
        <v>0</v>
      </c>
    </row>
    <row r="112" spans="1:10">
      <c r="A112" s="2" t="s">
        <v>539</v>
      </c>
      <c r="B112" s="42" t="s">
        <v>432</v>
      </c>
      <c r="C112" s="40">
        <v>33</v>
      </c>
      <c r="D112" s="40"/>
      <c r="E112" s="221">
        <v>44</v>
      </c>
      <c r="F112" s="202"/>
      <c r="G112" s="203"/>
      <c r="H112" s="204"/>
    </row>
    <row r="113" spans="1:10" ht="31">
      <c r="A113" s="2" t="s">
        <v>525</v>
      </c>
      <c r="B113" s="42" t="s">
        <v>433</v>
      </c>
      <c r="C113" s="40"/>
      <c r="D113" s="40"/>
      <c r="E113" s="221">
        <v>212</v>
      </c>
      <c r="F113" s="202"/>
      <c r="G113" s="203"/>
      <c r="H113" s="204"/>
    </row>
    <row r="114" spans="1:10">
      <c r="A114" s="2" t="s">
        <v>215</v>
      </c>
      <c r="B114" s="42">
        <v>1161</v>
      </c>
      <c r="C114" s="40"/>
      <c r="D114" s="40"/>
      <c r="E114" s="202"/>
      <c r="F114" s="202"/>
      <c r="G114" s="203"/>
      <c r="H114" s="204"/>
    </row>
    <row r="115" spans="1:10" s="32" customFormat="1">
      <c r="A115" s="29" t="s">
        <v>97</v>
      </c>
      <c r="B115" s="200">
        <v>1170</v>
      </c>
      <c r="C115" s="205">
        <f>C99+C100+C101-C103-C104+C105-C111</f>
        <v>10</v>
      </c>
      <c r="D115" s="205">
        <f>D99+D100+D101-D103-D104+D105-D111</f>
        <v>1928</v>
      </c>
      <c r="E115" s="205">
        <f>E99+E100+E101-E103-E104+E105-E111</f>
        <v>306.80000000000109</v>
      </c>
      <c r="F115" s="202">
        <f>E115-D115</f>
        <v>-1621.1999999999989</v>
      </c>
      <c r="G115" s="203">
        <f>E115/D115*100</f>
        <v>15.912863070539476</v>
      </c>
      <c r="H115" s="210"/>
      <c r="I115" s="32">
        <v>215</v>
      </c>
      <c r="J115" s="97">
        <f>E115-I115</f>
        <v>91.800000000001091</v>
      </c>
    </row>
    <row r="116" spans="1:10">
      <c r="A116" s="2" t="s">
        <v>138</v>
      </c>
      <c r="B116" s="42">
        <v>1180</v>
      </c>
      <c r="C116" s="211"/>
      <c r="D116" s="211">
        <v>347</v>
      </c>
      <c r="E116" s="202"/>
      <c r="F116" s="202">
        <f>E116-D116</f>
        <v>-347</v>
      </c>
      <c r="G116" s="203">
        <f>E116/D116*100</f>
        <v>0</v>
      </c>
      <c r="H116" s="204"/>
    </row>
    <row r="117" spans="1:10" ht="31">
      <c r="A117" s="2" t="s">
        <v>139</v>
      </c>
      <c r="B117" s="42">
        <v>1190</v>
      </c>
      <c r="C117" s="211"/>
      <c r="D117" s="211">
        <v>0</v>
      </c>
      <c r="E117" s="202"/>
      <c r="F117" s="202"/>
      <c r="G117" s="203"/>
      <c r="H117" s="204"/>
    </row>
    <row r="118" spans="1:10" s="32" customFormat="1" ht="30">
      <c r="A118" s="29" t="s">
        <v>98</v>
      </c>
      <c r="B118" s="200">
        <v>1200</v>
      </c>
      <c r="C118" s="205">
        <f>C115-C116</f>
        <v>10</v>
      </c>
      <c r="D118" s="205">
        <f>D115-D116</f>
        <v>1581</v>
      </c>
      <c r="E118" s="205">
        <f>E115-E116</f>
        <v>306.80000000000109</v>
      </c>
      <c r="F118" s="202">
        <f>E118-D118</f>
        <v>-1274.1999999999989</v>
      </c>
      <c r="G118" s="203">
        <f>E118/D118*100</f>
        <v>19.405439595192988</v>
      </c>
      <c r="H118" s="210"/>
      <c r="I118" s="32">
        <v>215</v>
      </c>
      <c r="J118" s="97">
        <f>E118-I118</f>
        <v>91.800000000001091</v>
      </c>
    </row>
    <row r="119" spans="1:10">
      <c r="A119" s="2" t="s">
        <v>24</v>
      </c>
      <c r="B119" s="22">
        <v>1201</v>
      </c>
      <c r="C119" s="224"/>
      <c r="D119" s="192">
        <f>D118</f>
        <v>1581</v>
      </c>
      <c r="E119" s="192">
        <f>E118</f>
        <v>306.80000000000109</v>
      </c>
      <c r="F119" s="192"/>
      <c r="G119" s="209"/>
      <c r="H119" s="207"/>
    </row>
    <row r="120" spans="1:10">
      <c r="A120" s="2" t="s">
        <v>25</v>
      </c>
      <c r="B120" s="22">
        <v>1202</v>
      </c>
      <c r="C120" s="224"/>
      <c r="D120" s="224"/>
      <c r="E120" s="192"/>
      <c r="F120" s="192"/>
      <c r="G120" s="209"/>
      <c r="H120" s="207"/>
    </row>
    <row r="121" spans="1:10">
      <c r="A121" s="2" t="s">
        <v>260</v>
      </c>
      <c r="B121" s="42">
        <v>1210</v>
      </c>
      <c r="C121" s="211"/>
      <c r="D121" s="211"/>
      <c r="E121" s="202"/>
      <c r="F121" s="202"/>
      <c r="G121" s="203"/>
      <c r="H121" s="204"/>
    </row>
    <row r="122" spans="1:10" s="32" customFormat="1" ht="15">
      <c r="A122" s="290" t="s">
        <v>273</v>
      </c>
      <c r="B122" s="291"/>
      <c r="C122" s="291"/>
      <c r="D122" s="291"/>
      <c r="E122" s="291"/>
      <c r="F122" s="291"/>
      <c r="G122" s="291"/>
      <c r="H122" s="292"/>
    </row>
    <row r="123" spans="1:10" ht="31">
      <c r="A123" s="24" t="s">
        <v>274</v>
      </c>
      <c r="B123" s="22">
        <v>1300</v>
      </c>
      <c r="C123" s="25">
        <f>C32-C87</f>
        <v>-96</v>
      </c>
      <c r="D123" s="25">
        <f>D32-D87</f>
        <v>0</v>
      </c>
      <c r="E123" s="25">
        <f>E32-E87</f>
        <v>17849</v>
      </c>
      <c r="F123" s="202">
        <f>E123-D123</f>
        <v>17849</v>
      </c>
      <c r="G123" s="228" t="e">
        <f>E123/D123*100</f>
        <v>#DIV/0!</v>
      </c>
      <c r="H123" s="207"/>
    </row>
    <row r="124" spans="1:10" ht="62">
      <c r="A124" s="31" t="s">
        <v>275</v>
      </c>
      <c r="B124" s="22">
        <v>1310</v>
      </c>
      <c r="C124" s="25">
        <f>C100+C101-C103-C104</f>
        <v>0</v>
      </c>
      <c r="D124" s="25">
        <f>D100+D101-D103-D104</f>
        <v>0</v>
      </c>
      <c r="E124" s="25">
        <f>E100+E101-E103-E104</f>
        <v>1</v>
      </c>
      <c r="F124" s="202">
        <f>E124-D124</f>
        <v>1</v>
      </c>
      <c r="G124" s="228" t="e">
        <f>E124/D124*100</f>
        <v>#DIV/0!</v>
      </c>
      <c r="H124" s="207"/>
    </row>
    <row r="125" spans="1:10" ht="31">
      <c r="A125" s="24" t="s">
        <v>276</v>
      </c>
      <c r="B125" s="22">
        <v>1320</v>
      </c>
      <c r="C125" s="25">
        <f>C105-C111</f>
        <v>1390</v>
      </c>
      <c r="D125" s="25">
        <f>D105-D111</f>
        <v>1004</v>
      </c>
      <c r="E125" s="25">
        <f>E105-E111</f>
        <v>885</v>
      </c>
      <c r="F125" s="202">
        <f>E125-D125</f>
        <v>-119</v>
      </c>
      <c r="G125" s="203">
        <f>E125/D125*100</f>
        <v>88.147410358565736</v>
      </c>
      <c r="H125" s="207"/>
    </row>
    <row r="126" spans="1:10" ht="31">
      <c r="A126" s="2" t="s">
        <v>366</v>
      </c>
      <c r="B126" s="42">
        <v>1330</v>
      </c>
      <c r="C126" s="44">
        <f>C9+C32+C100+C101+C105</f>
        <v>30501</v>
      </c>
      <c r="D126" s="44">
        <f>D9+D32+D100+D101+D105</f>
        <v>53710</v>
      </c>
      <c r="E126" s="44">
        <f>E9+E32+E100+E101+E105</f>
        <v>46544.2</v>
      </c>
      <c r="F126" s="202">
        <f>E126-D126</f>
        <v>-7165.8000000000029</v>
      </c>
      <c r="G126" s="203">
        <f>E126/D126*100</f>
        <v>86.658350400297891</v>
      </c>
      <c r="H126" s="204"/>
    </row>
    <row r="127" spans="1:10" ht="62">
      <c r="A127" s="2" t="s">
        <v>367</v>
      </c>
      <c r="B127" s="42">
        <v>1340</v>
      </c>
      <c r="C127" s="44">
        <f>C11+C35+C67+C87+C103+C111+C116</f>
        <v>30491</v>
      </c>
      <c r="D127" s="44">
        <f>D11+D35+D67+D87+D103+D111+D116</f>
        <v>52129</v>
      </c>
      <c r="E127" s="44">
        <f>E11+E35+E67+E87+E103+E111+E116</f>
        <v>46237.4</v>
      </c>
      <c r="F127" s="202">
        <f>E127-D127</f>
        <v>-5891.5999999999985</v>
      </c>
      <c r="G127" s="203">
        <f>E127/D127*100</f>
        <v>88.698037560666805</v>
      </c>
      <c r="H127" s="204"/>
    </row>
    <row r="128" spans="1:10">
      <c r="A128" s="306" t="s">
        <v>166</v>
      </c>
      <c r="B128" s="307"/>
      <c r="C128" s="307"/>
      <c r="D128" s="307"/>
      <c r="E128" s="307"/>
      <c r="F128" s="307"/>
      <c r="G128" s="307"/>
      <c r="H128" s="308"/>
    </row>
    <row r="129" spans="1:8" ht="31">
      <c r="A129" s="2" t="s">
        <v>277</v>
      </c>
      <c r="B129" s="42">
        <v>1400</v>
      </c>
      <c r="C129" s="44">
        <f>C99</f>
        <v>-1380</v>
      </c>
      <c r="D129" s="44">
        <f>D99</f>
        <v>924</v>
      </c>
      <c r="E129" s="44">
        <f>E99</f>
        <v>-579.19999999999891</v>
      </c>
      <c r="F129" s="202">
        <f>E129-D129</f>
        <v>-1503.1999999999989</v>
      </c>
      <c r="G129" s="203">
        <f>E129/D129*100</f>
        <v>-62.683982683982563</v>
      </c>
      <c r="H129" s="204"/>
    </row>
    <row r="130" spans="1:8">
      <c r="A130" s="2" t="s">
        <v>278</v>
      </c>
      <c r="B130" s="42">
        <v>1401</v>
      </c>
      <c r="C130" s="44">
        <f>C141</f>
        <v>869</v>
      </c>
      <c r="D130" s="221">
        <f>D141</f>
        <v>1004</v>
      </c>
      <c r="E130" s="221">
        <f>E141</f>
        <v>1214</v>
      </c>
      <c r="F130" s="202">
        <f>E130-D130</f>
        <v>210</v>
      </c>
      <c r="G130" s="203">
        <f>E130/D130*100</f>
        <v>120.91633466135458</v>
      </c>
      <c r="H130" s="204"/>
    </row>
    <row r="131" spans="1:8" ht="31">
      <c r="A131" s="2" t="s">
        <v>279</v>
      </c>
      <c r="B131" s="42">
        <v>1402</v>
      </c>
      <c r="C131" s="44"/>
      <c r="D131" s="44">
        <f>D34</f>
        <v>0</v>
      </c>
      <c r="E131" s="44">
        <f>E34</f>
        <v>0</v>
      </c>
      <c r="F131" s="202"/>
      <c r="G131" s="203"/>
      <c r="H131" s="204"/>
    </row>
    <row r="132" spans="1:8" ht="31">
      <c r="A132" s="2" t="s">
        <v>280</v>
      </c>
      <c r="B132" s="42">
        <v>1403</v>
      </c>
      <c r="C132" s="44"/>
      <c r="D132" s="44">
        <f>D91</f>
        <v>0</v>
      </c>
      <c r="E132" s="44">
        <f>E91</f>
        <v>0</v>
      </c>
      <c r="F132" s="202"/>
      <c r="G132" s="203"/>
      <c r="H132" s="204"/>
    </row>
    <row r="133" spans="1:8" ht="31">
      <c r="A133" s="2" t="s">
        <v>321</v>
      </c>
      <c r="B133" s="42">
        <v>1404</v>
      </c>
      <c r="C133" s="44"/>
      <c r="D133" s="44"/>
      <c r="E133" s="44"/>
      <c r="F133" s="202"/>
      <c r="G133" s="203"/>
      <c r="H133" s="204"/>
    </row>
    <row r="134" spans="1:8" s="32" customFormat="1">
      <c r="A134" s="29" t="s">
        <v>142</v>
      </c>
      <c r="B134" s="200">
        <v>1410</v>
      </c>
      <c r="C134" s="205">
        <f>C129+C130-C131+C132-C133</f>
        <v>-511</v>
      </c>
      <c r="D134" s="205">
        <f>D129+D130-D131+D132-D133</f>
        <v>1928</v>
      </c>
      <c r="E134" s="205">
        <f>E129+E130-E131+E132-E133</f>
        <v>634.80000000000109</v>
      </c>
      <c r="F134" s="202">
        <f>E134-D134</f>
        <v>-1293.1999999999989</v>
      </c>
      <c r="G134" s="203">
        <f>E134/D134*100</f>
        <v>32.925311203319559</v>
      </c>
      <c r="H134" s="223"/>
    </row>
    <row r="135" spans="1:8">
      <c r="A135" s="299" t="s">
        <v>232</v>
      </c>
      <c r="B135" s="300"/>
      <c r="C135" s="300"/>
      <c r="D135" s="300"/>
      <c r="E135" s="300"/>
      <c r="F135" s="300"/>
      <c r="G135" s="300"/>
      <c r="H135" s="301"/>
    </row>
    <row r="136" spans="1:8">
      <c r="A136" s="2" t="s">
        <v>281</v>
      </c>
      <c r="B136" s="42">
        <v>1500</v>
      </c>
      <c r="C136" s="202">
        <f t="shared" ref="C136:D136" si="7">C137+C138</f>
        <v>2030</v>
      </c>
      <c r="D136" s="202">
        <f t="shared" si="7"/>
        <v>2359</v>
      </c>
      <c r="E136" s="202">
        <f t="shared" ref="E136" si="8">E137+E138</f>
        <v>4261</v>
      </c>
      <c r="F136" s="202">
        <f t="shared" ref="F136:F143" si="9">E136-D136</f>
        <v>1902</v>
      </c>
      <c r="G136" s="203">
        <f t="shared" ref="G136:G143" si="10">E136/D136*100</f>
        <v>180.62738448495125</v>
      </c>
      <c r="H136" s="204"/>
    </row>
    <row r="137" spans="1:8">
      <c r="A137" s="2" t="s">
        <v>282</v>
      </c>
      <c r="B137" s="22">
        <v>1501</v>
      </c>
      <c r="C137" s="192">
        <f>C12+C61</f>
        <v>122</v>
      </c>
      <c r="D137" s="192">
        <f>D12+D61</f>
        <v>156</v>
      </c>
      <c r="E137" s="192">
        <f>E12+E61</f>
        <v>82</v>
      </c>
      <c r="F137" s="202">
        <f t="shared" si="9"/>
        <v>-74</v>
      </c>
      <c r="G137" s="203">
        <f t="shared" si="10"/>
        <v>52.564102564102569</v>
      </c>
      <c r="H137" s="207"/>
    </row>
    <row r="138" spans="1:8">
      <c r="A138" s="2" t="s">
        <v>28</v>
      </c>
      <c r="B138" s="22">
        <v>1502</v>
      </c>
      <c r="C138" s="192">
        <f>C13+C14+C58+C77</f>
        <v>1908</v>
      </c>
      <c r="D138" s="192">
        <f>D13+D14+D58+D77</f>
        <v>2203</v>
      </c>
      <c r="E138" s="192">
        <f>E13+E14+E58+E77</f>
        <v>4179</v>
      </c>
      <c r="F138" s="202">
        <f t="shared" si="9"/>
        <v>1976</v>
      </c>
      <c r="G138" s="203">
        <f t="shared" si="10"/>
        <v>189.69586926917839</v>
      </c>
      <c r="H138" s="207"/>
    </row>
    <row r="139" spans="1:8">
      <c r="A139" s="2" t="s">
        <v>5</v>
      </c>
      <c r="B139" s="42">
        <v>1510</v>
      </c>
      <c r="C139" s="202">
        <f>C15+C43+C70</f>
        <v>19407</v>
      </c>
      <c r="D139" s="202">
        <f>D15+D43+D70</f>
        <v>34463</v>
      </c>
      <c r="E139" s="202">
        <f>E15+E43+E70</f>
        <v>23740</v>
      </c>
      <c r="F139" s="202">
        <f t="shared" si="9"/>
        <v>-10723</v>
      </c>
      <c r="G139" s="203">
        <f t="shared" si="10"/>
        <v>68.885471375097922</v>
      </c>
      <c r="H139" s="204"/>
    </row>
    <row r="140" spans="1:8">
      <c r="A140" s="2" t="s">
        <v>6</v>
      </c>
      <c r="B140" s="42">
        <v>1520</v>
      </c>
      <c r="C140" s="202">
        <f>C16+C44+C74</f>
        <v>4290</v>
      </c>
      <c r="D140" s="202">
        <f>D16+D44+D74</f>
        <v>7408</v>
      </c>
      <c r="E140" s="202">
        <f>E16+E44+E74</f>
        <v>5128</v>
      </c>
      <c r="F140" s="202">
        <f t="shared" si="9"/>
        <v>-2280</v>
      </c>
      <c r="G140" s="203">
        <f t="shared" si="10"/>
        <v>69.222462203023767</v>
      </c>
      <c r="H140" s="204"/>
    </row>
    <row r="141" spans="1:8">
      <c r="A141" s="2" t="s">
        <v>7</v>
      </c>
      <c r="B141" s="42">
        <v>1530</v>
      </c>
      <c r="C141" s="221">
        <f>C18+C45+C71</f>
        <v>869</v>
      </c>
      <c r="D141" s="221">
        <f>D18+D45+D71</f>
        <v>1004</v>
      </c>
      <c r="E141" s="221">
        <f>E18+E45+E71</f>
        <v>1214</v>
      </c>
      <c r="F141" s="202">
        <f t="shared" si="9"/>
        <v>210</v>
      </c>
      <c r="G141" s="203">
        <f t="shared" si="10"/>
        <v>120.91633466135458</v>
      </c>
      <c r="H141" s="204"/>
    </row>
    <row r="142" spans="1:8">
      <c r="A142" s="2" t="s">
        <v>29</v>
      </c>
      <c r="B142" s="42">
        <v>1540</v>
      </c>
      <c r="C142" s="202">
        <f>C11+C35+C67+C87-C136-C139-C140-C141</f>
        <v>3862</v>
      </c>
      <c r="D142" s="202">
        <f>D11+D35+D67+D87-D136-D139-D140-D141</f>
        <v>6548</v>
      </c>
      <c r="E142" s="202">
        <f>E11+E35+E67+E87-E136-E139-E140-E141</f>
        <v>11638.400000000001</v>
      </c>
      <c r="F142" s="202">
        <f t="shared" si="9"/>
        <v>5090.4000000000015</v>
      </c>
      <c r="G142" s="203">
        <f t="shared" si="10"/>
        <v>177.73976786805136</v>
      </c>
      <c r="H142" s="204"/>
    </row>
    <row r="143" spans="1:8" s="32" customFormat="1" ht="15">
      <c r="A143" s="29" t="s">
        <v>58</v>
      </c>
      <c r="B143" s="200">
        <v>1550</v>
      </c>
      <c r="C143" s="205">
        <f>C136+C139+C140+C141+C142</f>
        <v>30458</v>
      </c>
      <c r="D143" s="205">
        <f>D136+D139+D140+D141+D142</f>
        <v>51782</v>
      </c>
      <c r="E143" s="205">
        <f>E136+E139+E140+E141+E142</f>
        <v>45981.4</v>
      </c>
      <c r="F143" s="201">
        <f t="shared" si="9"/>
        <v>-5800.5999999999985</v>
      </c>
      <c r="G143" s="213">
        <f t="shared" si="10"/>
        <v>88.798037928237619</v>
      </c>
      <c r="H143" s="223"/>
    </row>
    <row r="144" spans="1:8" s="32" customFormat="1" ht="15">
      <c r="A144" s="34"/>
      <c r="B144" s="45"/>
      <c r="C144" s="45"/>
      <c r="D144" s="225"/>
      <c r="E144" s="45"/>
      <c r="F144" s="45"/>
      <c r="G144" s="45"/>
      <c r="H144" s="45"/>
    </row>
    <row r="145" spans="1:8" ht="46">
      <c r="A145" s="34" t="s">
        <v>522</v>
      </c>
      <c r="B145" s="35"/>
      <c r="C145" s="3"/>
      <c r="D145" s="3"/>
      <c r="E145" s="3"/>
      <c r="F145" s="3" t="s">
        <v>521</v>
      </c>
      <c r="G145" s="3"/>
      <c r="H145" s="7"/>
    </row>
    <row r="146" spans="1:8">
      <c r="A146" s="18" t="s">
        <v>368</v>
      </c>
      <c r="B146" s="284" t="s">
        <v>79</v>
      </c>
      <c r="C146" s="284"/>
      <c r="D146" s="284"/>
      <c r="E146" s="284"/>
      <c r="F146" s="3"/>
      <c r="G146" s="3" t="s">
        <v>103</v>
      </c>
      <c r="H146" s="3"/>
    </row>
    <row r="147" spans="1:8">
      <c r="A147" s="33"/>
      <c r="B147" s="5"/>
      <c r="C147" s="4"/>
      <c r="D147" s="5"/>
      <c r="E147" s="5"/>
      <c r="F147" s="5"/>
      <c r="G147" s="5"/>
      <c r="H147" s="5"/>
    </row>
    <row r="148" spans="1:8">
      <c r="A148" s="283"/>
      <c r="B148" s="283"/>
      <c r="C148" s="283"/>
      <c r="D148" s="283"/>
      <c r="E148" s="283"/>
      <c r="F148" s="283"/>
      <c r="G148" s="283"/>
      <c r="H148" s="283"/>
    </row>
    <row r="149" spans="1:8">
      <c r="A149" s="190"/>
      <c r="C149" s="226"/>
      <c r="D149" s="226"/>
      <c r="E149" s="226"/>
    </row>
    <row r="150" spans="1:8">
      <c r="A150" s="190"/>
      <c r="C150" s="226"/>
      <c r="D150" s="226"/>
      <c r="E150" s="226"/>
    </row>
    <row r="151" spans="1:8">
      <c r="A151" s="190"/>
      <c r="C151" s="226"/>
      <c r="D151" s="226"/>
      <c r="E151" s="226"/>
    </row>
    <row r="152" spans="1:8">
      <c r="A152" s="190"/>
      <c r="C152" s="226"/>
      <c r="D152" s="226"/>
      <c r="E152" s="226"/>
    </row>
    <row r="153" spans="1:8">
      <c r="A153" s="190"/>
      <c r="C153" s="226"/>
      <c r="D153" s="226"/>
      <c r="E153" s="226"/>
    </row>
    <row r="154" spans="1:8">
      <c r="A154" s="190"/>
    </row>
    <row r="155" spans="1:8">
      <c r="A155" s="190"/>
    </row>
    <row r="156" spans="1:8">
      <c r="A156" s="190"/>
    </row>
    <row r="157" spans="1:8">
      <c r="A157" s="190"/>
    </row>
    <row r="158" spans="1:8">
      <c r="A158" s="190"/>
    </row>
    <row r="159" spans="1:8">
      <c r="A159" s="190"/>
    </row>
    <row r="160" spans="1:8">
      <c r="A160" s="190"/>
    </row>
    <row r="161" spans="1:1">
      <c r="A161" s="190"/>
    </row>
    <row r="162" spans="1:1">
      <c r="A162" s="190"/>
    </row>
    <row r="163" spans="1:1">
      <c r="A163" s="190"/>
    </row>
    <row r="164" spans="1:1">
      <c r="A164" s="190"/>
    </row>
    <row r="165" spans="1:1">
      <c r="A165" s="190"/>
    </row>
    <row r="166" spans="1:1">
      <c r="A166" s="190"/>
    </row>
    <row r="167" spans="1:1">
      <c r="A167" s="190"/>
    </row>
    <row r="168" spans="1:1">
      <c r="A168" s="190"/>
    </row>
    <row r="169" spans="1:1">
      <c r="A169" s="190"/>
    </row>
    <row r="170" spans="1:1">
      <c r="A170" s="190"/>
    </row>
    <row r="171" spans="1:1">
      <c r="A171" s="190"/>
    </row>
    <row r="172" spans="1:1">
      <c r="A172" s="190"/>
    </row>
    <row r="173" spans="1:1">
      <c r="A173" s="190"/>
    </row>
    <row r="174" spans="1:1">
      <c r="A174" s="190"/>
    </row>
    <row r="175" spans="1:1">
      <c r="A175" s="190"/>
    </row>
    <row r="176" spans="1:1">
      <c r="A176" s="190"/>
    </row>
    <row r="177" spans="1:1">
      <c r="A177" s="190"/>
    </row>
    <row r="178" spans="1:1">
      <c r="A178" s="190"/>
    </row>
    <row r="179" spans="1:1">
      <c r="A179" s="190"/>
    </row>
    <row r="180" spans="1:1">
      <c r="A180" s="190"/>
    </row>
    <row r="181" spans="1:1">
      <c r="A181" s="190"/>
    </row>
    <row r="182" spans="1:1">
      <c r="A182" s="190"/>
    </row>
    <row r="183" spans="1:1">
      <c r="A183" s="190"/>
    </row>
    <row r="184" spans="1:1">
      <c r="A184" s="190"/>
    </row>
    <row r="185" spans="1:1">
      <c r="A185" s="190"/>
    </row>
    <row r="186" spans="1:1">
      <c r="A186" s="190"/>
    </row>
    <row r="187" spans="1:1">
      <c r="A187" s="190"/>
    </row>
    <row r="188" spans="1:1">
      <c r="A188" s="190"/>
    </row>
    <row r="189" spans="1:1">
      <c r="A189" s="190"/>
    </row>
    <row r="190" spans="1:1">
      <c r="A190" s="190"/>
    </row>
    <row r="191" spans="1:1">
      <c r="A191" s="190"/>
    </row>
    <row r="192" spans="1:1">
      <c r="A192" s="190"/>
    </row>
    <row r="193" spans="1:1">
      <c r="A193" s="190"/>
    </row>
    <row r="194" spans="1:1">
      <c r="A194" s="190"/>
    </row>
    <row r="195" spans="1:1">
      <c r="A195" s="190"/>
    </row>
    <row r="196" spans="1:1">
      <c r="A196" s="190"/>
    </row>
    <row r="197" spans="1:1">
      <c r="A197" s="190"/>
    </row>
    <row r="198" spans="1:1">
      <c r="A198" s="190"/>
    </row>
    <row r="199" spans="1:1">
      <c r="A199" s="190"/>
    </row>
    <row r="200" spans="1:1">
      <c r="A200" s="190"/>
    </row>
    <row r="201" spans="1:1">
      <c r="A201" s="190"/>
    </row>
    <row r="202" spans="1:1">
      <c r="A202" s="190"/>
    </row>
    <row r="203" spans="1:1">
      <c r="A203" s="190"/>
    </row>
    <row r="204" spans="1:1">
      <c r="A204" s="190"/>
    </row>
    <row r="205" spans="1:1">
      <c r="A205" s="36"/>
    </row>
    <row r="206" spans="1:1">
      <c r="A206" s="36"/>
    </row>
    <row r="207" spans="1:1">
      <c r="A207" s="36"/>
    </row>
    <row r="208" spans="1:1">
      <c r="A208" s="36"/>
    </row>
    <row r="209" spans="1:1">
      <c r="A209" s="36"/>
    </row>
    <row r="210" spans="1:1">
      <c r="A210" s="36"/>
    </row>
    <row r="211" spans="1:1">
      <c r="A211" s="36"/>
    </row>
    <row r="212" spans="1:1">
      <c r="A212" s="36"/>
    </row>
    <row r="213" spans="1:1">
      <c r="A213" s="36"/>
    </row>
    <row r="214" spans="1:1">
      <c r="A214" s="36"/>
    </row>
    <row r="215" spans="1:1">
      <c r="A215" s="36"/>
    </row>
    <row r="216" spans="1:1">
      <c r="A216" s="36"/>
    </row>
    <row r="217" spans="1:1">
      <c r="A217" s="36"/>
    </row>
    <row r="218" spans="1:1">
      <c r="A218" s="36"/>
    </row>
    <row r="219" spans="1:1">
      <c r="A219" s="36"/>
    </row>
    <row r="220" spans="1:1">
      <c r="A220" s="36"/>
    </row>
    <row r="221" spans="1:1">
      <c r="A221" s="36"/>
    </row>
    <row r="222" spans="1:1">
      <c r="A222" s="36"/>
    </row>
    <row r="223" spans="1:1">
      <c r="A223" s="36"/>
    </row>
    <row r="224" spans="1:1">
      <c r="A224" s="36"/>
    </row>
    <row r="225" spans="1:1">
      <c r="A225" s="36"/>
    </row>
    <row r="226" spans="1:1">
      <c r="A226" s="36"/>
    </row>
    <row r="227" spans="1:1">
      <c r="A227" s="36"/>
    </row>
    <row r="228" spans="1:1">
      <c r="A228" s="36"/>
    </row>
    <row r="229" spans="1:1">
      <c r="A229" s="36"/>
    </row>
    <row r="230" spans="1:1">
      <c r="A230" s="36"/>
    </row>
    <row r="231" spans="1:1">
      <c r="A231" s="36"/>
    </row>
    <row r="232" spans="1:1">
      <c r="A232" s="36"/>
    </row>
    <row r="233" spans="1:1">
      <c r="A233" s="36"/>
    </row>
    <row r="234" spans="1:1">
      <c r="A234" s="36"/>
    </row>
    <row r="235" spans="1:1">
      <c r="A235" s="36"/>
    </row>
    <row r="236" spans="1:1">
      <c r="A236" s="36"/>
    </row>
    <row r="237" spans="1:1">
      <c r="A237" s="36"/>
    </row>
    <row r="238" spans="1:1">
      <c r="A238" s="36"/>
    </row>
    <row r="239" spans="1:1">
      <c r="A239" s="36"/>
    </row>
    <row r="240" spans="1:1">
      <c r="A240" s="36"/>
    </row>
    <row r="241" spans="1:1">
      <c r="A241" s="36"/>
    </row>
    <row r="242" spans="1:1">
      <c r="A242" s="36"/>
    </row>
    <row r="243" spans="1:1">
      <c r="A243" s="36"/>
    </row>
    <row r="244" spans="1:1">
      <c r="A244" s="36"/>
    </row>
    <row r="245" spans="1:1">
      <c r="A245" s="36"/>
    </row>
    <row r="246" spans="1:1">
      <c r="A246" s="36"/>
    </row>
    <row r="247" spans="1:1">
      <c r="A247" s="36"/>
    </row>
    <row r="248" spans="1:1">
      <c r="A248" s="36"/>
    </row>
    <row r="249" spans="1:1">
      <c r="A249" s="36"/>
    </row>
    <row r="250" spans="1:1">
      <c r="A250" s="36"/>
    </row>
    <row r="251" spans="1:1">
      <c r="A251" s="36"/>
    </row>
    <row r="252" spans="1:1">
      <c r="A252" s="36"/>
    </row>
    <row r="253" spans="1:1">
      <c r="A253" s="36"/>
    </row>
    <row r="254" spans="1:1">
      <c r="A254" s="36"/>
    </row>
    <row r="255" spans="1:1">
      <c r="A255" s="36"/>
    </row>
    <row r="256" spans="1:1">
      <c r="A256" s="36"/>
    </row>
    <row r="257" spans="1:1">
      <c r="A257" s="36"/>
    </row>
    <row r="258" spans="1:1">
      <c r="A258" s="36"/>
    </row>
    <row r="259" spans="1:1">
      <c r="A259" s="36"/>
    </row>
    <row r="260" spans="1:1">
      <c r="A260" s="36"/>
    </row>
    <row r="261" spans="1:1">
      <c r="A261" s="36"/>
    </row>
    <row r="262" spans="1:1">
      <c r="A262" s="36"/>
    </row>
    <row r="263" spans="1:1">
      <c r="A263" s="36"/>
    </row>
    <row r="264" spans="1:1">
      <c r="A264" s="36"/>
    </row>
    <row r="265" spans="1:1">
      <c r="A265" s="36"/>
    </row>
    <row r="266" spans="1:1">
      <c r="A266" s="36"/>
    </row>
    <row r="267" spans="1:1">
      <c r="A267" s="36"/>
    </row>
    <row r="268" spans="1:1">
      <c r="A268" s="36"/>
    </row>
    <row r="269" spans="1:1">
      <c r="A269" s="36"/>
    </row>
    <row r="270" spans="1:1">
      <c r="A270" s="36"/>
    </row>
    <row r="271" spans="1:1">
      <c r="A271" s="36"/>
    </row>
    <row r="272" spans="1:1">
      <c r="A272" s="36"/>
    </row>
    <row r="273" spans="1:1">
      <c r="A273" s="36"/>
    </row>
    <row r="274" spans="1:1">
      <c r="A274" s="36"/>
    </row>
    <row r="275" spans="1:1">
      <c r="A275" s="36"/>
    </row>
    <row r="276" spans="1:1">
      <c r="A276" s="36"/>
    </row>
    <row r="277" spans="1:1">
      <c r="A277" s="36"/>
    </row>
    <row r="278" spans="1:1">
      <c r="A278" s="36"/>
    </row>
    <row r="279" spans="1:1">
      <c r="A279" s="36"/>
    </row>
    <row r="280" spans="1:1">
      <c r="A280" s="36"/>
    </row>
    <row r="281" spans="1:1">
      <c r="A281" s="36"/>
    </row>
    <row r="282" spans="1:1">
      <c r="A282" s="36"/>
    </row>
    <row r="283" spans="1:1">
      <c r="A283" s="36"/>
    </row>
    <row r="284" spans="1:1">
      <c r="A284" s="36"/>
    </row>
    <row r="285" spans="1:1">
      <c r="A285" s="36"/>
    </row>
    <row r="286" spans="1:1">
      <c r="A286" s="36"/>
    </row>
    <row r="287" spans="1:1">
      <c r="A287" s="36"/>
    </row>
    <row r="288" spans="1:1">
      <c r="A288" s="36"/>
    </row>
    <row r="289" spans="1:1">
      <c r="A289" s="36"/>
    </row>
    <row r="290" spans="1:1">
      <c r="A290" s="36"/>
    </row>
    <row r="291" spans="1:1">
      <c r="A291" s="36"/>
    </row>
    <row r="292" spans="1:1">
      <c r="A292" s="36"/>
    </row>
    <row r="293" spans="1:1">
      <c r="A293" s="36"/>
    </row>
    <row r="294" spans="1:1">
      <c r="A294" s="36"/>
    </row>
    <row r="295" spans="1:1">
      <c r="A295" s="36"/>
    </row>
    <row r="296" spans="1:1">
      <c r="A296" s="36"/>
    </row>
    <row r="297" spans="1:1">
      <c r="A297" s="36"/>
    </row>
    <row r="298" spans="1:1">
      <c r="A298" s="36"/>
    </row>
    <row r="299" spans="1:1">
      <c r="A299" s="36"/>
    </row>
    <row r="300" spans="1:1">
      <c r="A300" s="36"/>
    </row>
    <row r="301" spans="1:1">
      <c r="A301" s="36"/>
    </row>
    <row r="302" spans="1:1">
      <c r="A302" s="36"/>
    </row>
    <row r="303" spans="1:1">
      <c r="A303" s="36"/>
    </row>
    <row r="304" spans="1:1">
      <c r="A304" s="36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36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  <row r="316" spans="1:1">
      <c r="A316" s="36"/>
    </row>
    <row r="317" spans="1:1">
      <c r="A317" s="36"/>
    </row>
    <row r="318" spans="1:1">
      <c r="A318" s="36"/>
    </row>
    <row r="319" spans="1:1">
      <c r="A319" s="36"/>
    </row>
    <row r="320" spans="1:1">
      <c r="A320" s="36"/>
    </row>
    <row r="321" spans="1:1">
      <c r="A321" s="36"/>
    </row>
    <row r="322" spans="1:1">
      <c r="A322" s="36"/>
    </row>
    <row r="323" spans="1:1">
      <c r="A323" s="36"/>
    </row>
    <row r="324" spans="1:1">
      <c r="A324" s="36"/>
    </row>
    <row r="325" spans="1:1">
      <c r="A325" s="36"/>
    </row>
    <row r="326" spans="1:1">
      <c r="A326" s="36"/>
    </row>
    <row r="327" spans="1:1">
      <c r="A327" s="36"/>
    </row>
    <row r="328" spans="1:1">
      <c r="A328" s="36"/>
    </row>
    <row r="329" spans="1:1">
      <c r="A329" s="36"/>
    </row>
    <row r="330" spans="1:1">
      <c r="A330" s="36"/>
    </row>
    <row r="331" spans="1:1">
      <c r="A331" s="36"/>
    </row>
    <row r="332" spans="1:1">
      <c r="A332" s="36"/>
    </row>
    <row r="333" spans="1:1">
      <c r="A333" s="36"/>
    </row>
    <row r="334" spans="1:1">
      <c r="A334" s="36"/>
    </row>
    <row r="335" spans="1:1">
      <c r="A335" s="36"/>
    </row>
    <row r="336" spans="1:1">
      <c r="A336" s="36"/>
    </row>
    <row r="337" spans="1:1">
      <c r="A337" s="36"/>
    </row>
    <row r="338" spans="1:1">
      <c r="A338" s="36"/>
    </row>
    <row r="339" spans="1:1">
      <c r="A339" s="36"/>
    </row>
    <row r="340" spans="1:1">
      <c r="A340" s="36"/>
    </row>
    <row r="341" spans="1:1">
      <c r="A341" s="36"/>
    </row>
    <row r="342" spans="1:1">
      <c r="A342" s="36"/>
    </row>
    <row r="343" spans="1:1">
      <c r="A343" s="36"/>
    </row>
    <row r="344" spans="1:1">
      <c r="A344" s="36"/>
    </row>
    <row r="345" spans="1:1">
      <c r="A345" s="36"/>
    </row>
    <row r="346" spans="1:1">
      <c r="A346" s="36"/>
    </row>
    <row r="347" spans="1:1">
      <c r="A347" s="36"/>
    </row>
    <row r="348" spans="1:1">
      <c r="A348" s="36"/>
    </row>
    <row r="349" spans="1:1">
      <c r="A349" s="36"/>
    </row>
    <row r="350" spans="1:1">
      <c r="A350" s="36"/>
    </row>
    <row r="351" spans="1:1">
      <c r="A351" s="36"/>
    </row>
    <row r="352" spans="1:1">
      <c r="A352" s="36"/>
    </row>
    <row r="353" spans="1:1">
      <c r="A353" s="36"/>
    </row>
    <row r="354" spans="1:1">
      <c r="A354" s="36"/>
    </row>
    <row r="355" spans="1:1">
      <c r="A355" s="36"/>
    </row>
    <row r="356" spans="1:1">
      <c r="A356" s="36"/>
    </row>
    <row r="357" spans="1:1">
      <c r="A357" s="36"/>
    </row>
    <row r="358" spans="1:1">
      <c r="A358" s="36"/>
    </row>
    <row r="359" spans="1:1">
      <c r="A359" s="36"/>
    </row>
    <row r="360" spans="1:1">
      <c r="A360" s="36"/>
    </row>
    <row r="361" spans="1:1">
      <c r="A361" s="36"/>
    </row>
    <row r="362" spans="1:1">
      <c r="A362" s="36"/>
    </row>
    <row r="363" spans="1:1">
      <c r="A363" s="36"/>
    </row>
    <row r="364" spans="1:1">
      <c r="A364" s="36"/>
    </row>
    <row r="365" spans="1:1">
      <c r="A365" s="36"/>
    </row>
    <row r="366" spans="1:1">
      <c r="A366" s="36"/>
    </row>
    <row r="367" spans="1:1">
      <c r="A367" s="36"/>
    </row>
    <row r="368" spans="1:1">
      <c r="A368" s="36"/>
    </row>
    <row r="369" spans="1:1">
      <c r="A369" s="36"/>
    </row>
    <row r="370" spans="1:1">
      <c r="A370" s="36"/>
    </row>
    <row r="371" spans="1:1">
      <c r="A371" s="36"/>
    </row>
    <row r="1069" spans="4:4">
      <c r="D1069" s="227">
        <v>44608</v>
      </c>
    </row>
  </sheetData>
  <autoFilter ref="A9:H143" xr:uid="{00000000-0009-0000-0000-000001000000}"/>
  <mergeCells count="11">
    <mergeCell ref="A148:H148"/>
    <mergeCell ref="B146:E146"/>
    <mergeCell ref="A3:H3"/>
    <mergeCell ref="A135:H135"/>
    <mergeCell ref="D5:H5"/>
    <mergeCell ref="B5:B6"/>
    <mergeCell ref="A5:A6"/>
    <mergeCell ref="C5:C6"/>
    <mergeCell ref="A8:H8"/>
    <mergeCell ref="A122:H122"/>
    <mergeCell ref="A128:H128"/>
  </mergeCells>
  <phoneticPr fontId="0" type="noConversion"/>
  <pageMargins left="1.1811023622047243" right="0.39370078740157483" top="0.78740157480314965" bottom="0.78740157480314965" header="0" footer="0"/>
  <pageSetup paperSize="9" scale="65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3"/>
    <pageSetUpPr fitToPage="1"/>
  </sheetPr>
  <dimension ref="A1:K191"/>
  <sheetViews>
    <sheetView view="pageBreakPreview" topLeftCell="A36" zoomScale="75" zoomScaleNormal="75" zoomScaleSheetLayoutView="75" workbookViewId="0">
      <selection activeCell="H7" sqref="H7:K40"/>
    </sheetView>
  </sheetViews>
  <sheetFormatPr defaultColWidth="9.1796875" defaultRowHeight="15.5" outlineLevelRow="1"/>
  <cols>
    <col min="1" max="1" width="64.1796875" style="230" customWidth="1"/>
    <col min="2" max="2" width="11.7265625" style="231" customWidth="1"/>
    <col min="3" max="3" width="15.7265625" style="231" customWidth="1"/>
    <col min="4" max="4" width="11.7265625" style="231" customWidth="1"/>
    <col min="5" max="5" width="11.1796875" style="231" customWidth="1"/>
    <col min="6" max="6" width="15.1796875" style="231" customWidth="1"/>
    <col min="7" max="7" width="15.54296875" style="231" customWidth="1"/>
    <col min="8" max="8" width="10" style="243" customWidth="1"/>
    <col min="9" max="9" width="9.54296875" style="243" customWidth="1"/>
    <col min="10" max="11" width="9.1796875" style="243"/>
    <col min="12" max="16384" width="9.1796875" style="230"/>
  </cols>
  <sheetData>
    <row r="1" spans="1:11" hidden="1" outlineLevel="1">
      <c r="G1" s="38" t="s">
        <v>237</v>
      </c>
    </row>
    <row r="2" spans="1:11" hidden="1" outlineLevel="1">
      <c r="G2" s="38" t="s">
        <v>222</v>
      </c>
    </row>
    <row r="3" spans="1:11" collapsed="1">
      <c r="A3" s="312" t="s">
        <v>358</v>
      </c>
      <c r="B3" s="312"/>
      <c r="C3" s="312"/>
      <c r="D3" s="312"/>
      <c r="E3" s="312"/>
      <c r="F3" s="312"/>
      <c r="G3" s="312"/>
    </row>
    <row r="4" spans="1:11" ht="38.25" customHeight="1">
      <c r="A4" s="313" t="s">
        <v>283</v>
      </c>
      <c r="B4" s="314" t="s">
        <v>18</v>
      </c>
      <c r="C4" s="276" t="s">
        <v>346</v>
      </c>
      <c r="D4" s="313" t="s">
        <v>344</v>
      </c>
      <c r="E4" s="313"/>
      <c r="F4" s="313"/>
      <c r="G4" s="313"/>
    </row>
    <row r="5" spans="1:11" ht="38.25" customHeight="1">
      <c r="A5" s="313"/>
      <c r="B5" s="314"/>
      <c r="C5" s="315"/>
      <c r="D5" s="23" t="s">
        <v>261</v>
      </c>
      <c r="E5" s="23" t="s">
        <v>244</v>
      </c>
      <c r="F5" s="21" t="s">
        <v>271</v>
      </c>
      <c r="G5" s="21" t="s">
        <v>272</v>
      </c>
    </row>
    <row r="6" spans="1:11">
      <c r="A6" s="191">
        <v>1</v>
      </c>
      <c r="B6" s="233">
        <v>2</v>
      </c>
      <c r="C6" s="191">
        <v>3</v>
      </c>
      <c r="D6" s="191">
        <v>4</v>
      </c>
      <c r="E6" s="233">
        <v>5</v>
      </c>
      <c r="F6" s="191">
        <v>6</v>
      </c>
      <c r="G6" s="233">
        <v>7</v>
      </c>
    </row>
    <row r="7" spans="1:11">
      <c r="A7" s="309" t="s">
        <v>151</v>
      </c>
      <c r="B7" s="310"/>
      <c r="C7" s="310"/>
      <c r="D7" s="310"/>
      <c r="E7" s="310"/>
      <c r="F7" s="310"/>
      <c r="G7" s="311"/>
    </row>
    <row r="8" spans="1:11" ht="45.75" customHeight="1">
      <c r="A8" s="2" t="s">
        <v>60</v>
      </c>
      <c r="B8" s="22">
        <v>2000</v>
      </c>
      <c r="C8" s="25">
        <v>-14502</v>
      </c>
      <c r="D8" s="25">
        <v>-13020</v>
      </c>
      <c r="E8" s="25">
        <v>-14492.4</v>
      </c>
      <c r="F8" s="25">
        <f>E8-D8</f>
        <v>-1472.3999999999996</v>
      </c>
      <c r="G8" s="26">
        <f>E8/D8*100</f>
        <v>111.30875576036867</v>
      </c>
    </row>
    <row r="9" spans="1:11">
      <c r="A9" s="2" t="s">
        <v>204</v>
      </c>
      <c r="B9" s="22">
        <v>2010</v>
      </c>
      <c r="C9" s="25">
        <v>7</v>
      </c>
      <c r="D9" s="25">
        <f>D10+D11</f>
        <v>1043</v>
      </c>
      <c r="E9" s="25">
        <f>E10+E11</f>
        <v>150</v>
      </c>
      <c r="F9" s="25">
        <f t="shared" ref="F9:F11" si="0">E9-D9</f>
        <v>-893</v>
      </c>
      <c r="G9" s="26">
        <f t="shared" ref="G9:G11" si="1">E9/D9*100</f>
        <v>14.381591562799617</v>
      </c>
    </row>
    <row r="10" spans="1:11" ht="31">
      <c r="A10" s="2" t="s">
        <v>349</v>
      </c>
      <c r="B10" s="22">
        <v>2011</v>
      </c>
      <c r="C10" s="25">
        <v>2</v>
      </c>
      <c r="D10" s="25">
        <v>237</v>
      </c>
      <c r="E10" s="25">
        <v>34.5</v>
      </c>
      <c r="F10" s="25">
        <f t="shared" si="0"/>
        <v>-202.5</v>
      </c>
      <c r="G10" s="26">
        <f t="shared" si="1"/>
        <v>14.556962025316455</v>
      </c>
    </row>
    <row r="11" spans="1:11" ht="62">
      <c r="A11" s="2" t="s">
        <v>350</v>
      </c>
      <c r="B11" s="22">
        <v>2012</v>
      </c>
      <c r="C11" s="25">
        <v>5</v>
      </c>
      <c r="D11" s="25">
        <v>806</v>
      </c>
      <c r="E11" s="25">
        <v>115.5</v>
      </c>
      <c r="F11" s="25">
        <f t="shared" si="0"/>
        <v>-690.5</v>
      </c>
      <c r="G11" s="26">
        <f t="shared" si="1"/>
        <v>14.330024813895781</v>
      </c>
    </row>
    <row r="12" spans="1:11">
      <c r="A12" s="2" t="s">
        <v>191</v>
      </c>
      <c r="B12" s="22">
        <v>2020</v>
      </c>
      <c r="C12" s="25"/>
      <c r="D12" s="25"/>
      <c r="E12" s="25"/>
      <c r="F12" s="25"/>
      <c r="G12" s="26"/>
    </row>
    <row r="13" spans="1:11" s="234" customFormat="1">
      <c r="A13" s="2" t="s">
        <v>72</v>
      </c>
      <c r="B13" s="22">
        <v>2030</v>
      </c>
      <c r="C13" s="25"/>
      <c r="D13" s="25"/>
      <c r="E13" s="25"/>
      <c r="F13" s="25"/>
      <c r="G13" s="26"/>
      <c r="H13" s="244"/>
      <c r="I13" s="244"/>
      <c r="J13" s="244"/>
      <c r="K13" s="244"/>
    </row>
    <row r="14" spans="1:11" ht="24" customHeight="1">
      <c r="A14" s="2" t="s">
        <v>131</v>
      </c>
      <c r="B14" s="22">
        <v>2031</v>
      </c>
      <c r="C14" s="25"/>
      <c r="D14" s="25"/>
      <c r="E14" s="25"/>
      <c r="F14" s="25"/>
      <c r="G14" s="26"/>
    </row>
    <row r="15" spans="1:11">
      <c r="A15" s="2" t="s">
        <v>26</v>
      </c>
      <c r="B15" s="22">
        <v>2040</v>
      </c>
      <c r="C15" s="25"/>
      <c r="D15" s="25"/>
      <c r="E15" s="25"/>
      <c r="F15" s="25"/>
      <c r="G15" s="26"/>
    </row>
    <row r="16" spans="1:11">
      <c r="A16" s="2" t="s">
        <v>114</v>
      </c>
      <c r="B16" s="22">
        <v>2050</v>
      </c>
      <c r="C16" s="25"/>
      <c r="D16" s="25"/>
      <c r="E16" s="25"/>
      <c r="F16" s="25"/>
      <c r="G16" s="26"/>
    </row>
    <row r="17" spans="1:11">
      <c r="A17" s="2" t="s">
        <v>115</v>
      </c>
      <c r="B17" s="22">
        <v>2060</v>
      </c>
      <c r="C17" s="25">
        <f>C18</f>
        <v>0</v>
      </c>
      <c r="D17" s="25"/>
      <c r="E17" s="25">
        <v>0</v>
      </c>
      <c r="F17" s="25">
        <f t="shared" ref="F17:F18" si="2">E17-D17</f>
        <v>0</v>
      </c>
      <c r="G17" s="28" t="e">
        <f t="shared" ref="G17:G18" si="3">E17/D17*100</f>
        <v>#DIV/0!</v>
      </c>
    </row>
    <row r="18" spans="1:11" ht="31">
      <c r="A18" s="2" t="s">
        <v>457</v>
      </c>
      <c r="B18" s="22" t="s">
        <v>456</v>
      </c>
      <c r="C18" s="25"/>
      <c r="D18" s="25"/>
      <c r="E18" s="25"/>
      <c r="F18" s="25">
        <f t="shared" si="2"/>
        <v>0</v>
      </c>
      <c r="G18" s="28" t="e">
        <f t="shared" si="3"/>
        <v>#DIV/0!</v>
      </c>
    </row>
    <row r="19" spans="1:11" ht="62.25" customHeight="1">
      <c r="A19" s="48" t="s">
        <v>61</v>
      </c>
      <c r="B19" s="49">
        <v>2070</v>
      </c>
      <c r="C19" s="50">
        <f>C8+'1. Фін результат'!C118-C9</f>
        <v>-14499</v>
      </c>
      <c r="D19" s="50">
        <f>D8+'1. Фін результат'!D118-D9</f>
        <v>-12482</v>
      </c>
      <c r="E19" s="50">
        <f>E8+'1. Фін результат'!E118-E9-E17</f>
        <v>-14335.599999999999</v>
      </c>
      <c r="F19" s="50">
        <f>E19-D19</f>
        <v>-1853.5999999999985</v>
      </c>
      <c r="G19" s="235">
        <f>E19/D19*100</f>
        <v>114.85018426534208</v>
      </c>
      <c r="I19" s="245"/>
    </row>
    <row r="20" spans="1:11" ht="41.25" customHeight="1">
      <c r="A20" s="309" t="s">
        <v>152</v>
      </c>
      <c r="B20" s="310"/>
      <c r="C20" s="310"/>
      <c r="D20" s="310"/>
      <c r="E20" s="310"/>
      <c r="F20" s="310"/>
      <c r="G20" s="311"/>
    </row>
    <row r="21" spans="1:11" ht="30">
      <c r="A21" s="48" t="s">
        <v>204</v>
      </c>
      <c r="B21" s="49">
        <v>2100</v>
      </c>
      <c r="C21" s="50">
        <v>7</v>
      </c>
      <c r="D21" s="25">
        <f>D22+D23</f>
        <v>1043</v>
      </c>
      <c r="E21" s="50">
        <f>E22+E23</f>
        <v>150</v>
      </c>
      <c r="F21" s="50">
        <f>E21-D21</f>
        <v>-893</v>
      </c>
      <c r="G21" s="235">
        <f>E21/D21*100</f>
        <v>14.381591562799617</v>
      </c>
    </row>
    <row r="22" spans="1:11" ht="31">
      <c r="A22" s="2" t="s">
        <v>349</v>
      </c>
      <c r="B22" s="22">
        <v>2101</v>
      </c>
      <c r="C22" s="25">
        <v>2</v>
      </c>
      <c r="D22" s="25">
        <f>D10</f>
        <v>237</v>
      </c>
      <c r="E22" s="25">
        <f>E10</f>
        <v>34.5</v>
      </c>
      <c r="F22" s="25">
        <f t="shared" ref="F22:F41" si="4">E22-D22</f>
        <v>-202.5</v>
      </c>
      <c r="G22" s="26">
        <f t="shared" ref="G22:G41" si="5">E22/D22*100</f>
        <v>14.556962025316455</v>
      </c>
    </row>
    <row r="23" spans="1:11" ht="62">
      <c r="A23" s="2" t="s">
        <v>350</v>
      </c>
      <c r="B23" s="22">
        <v>2102</v>
      </c>
      <c r="C23" s="25">
        <v>5</v>
      </c>
      <c r="D23" s="25">
        <f>D11</f>
        <v>806</v>
      </c>
      <c r="E23" s="25">
        <f>E11</f>
        <v>115.5</v>
      </c>
      <c r="F23" s="25">
        <f t="shared" si="4"/>
        <v>-690.5</v>
      </c>
      <c r="G23" s="26">
        <f t="shared" si="5"/>
        <v>14.330024813895781</v>
      </c>
    </row>
    <row r="24" spans="1:11" s="234" customFormat="1" ht="15">
      <c r="A24" s="48" t="s">
        <v>154</v>
      </c>
      <c r="B24" s="236">
        <v>2110</v>
      </c>
      <c r="C24" s="237"/>
      <c r="D24" s="237">
        <f>'1. Фін результат'!D116</f>
        <v>347</v>
      </c>
      <c r="E24" s="237">
        <f>'1. Фін результат'!E116</f>
        <v>0</v>
      </c>
      <c r="F24" s="50"/>
      <c r="G24" s="235"/>
      <c r="H24" s="244"/>
      <c r="I24" s="244"/>
      <c r="J24" s="244"/>
      <c r="K24" s="244"/>
    </row>
    <row r="25" spans="1:11" ht="30">
      <c r="A25" s="48" t="s">
        <v>330</v>
      </c>
      <c r="B25" s="236">
        <v>2120</v>
      </c>
      <c r="C25" s="237">
        <v>2625</v>
      </c>
      <c r="D25" s="237">
        <v>748</v>
      </c>
      <c r="E25" s="237">
        <v>823.7</v>
      </c>
      <c r="F25" s="50">
        <f t="shared" si="4"/>
        <v>75.700000000000045</v>
      </c>
      <c r="G25" s="235">
        <f t="shared" si="5"/>
        <v>110.12032085561498</v>
      </c>
    </row>
    <row r="26" spans="1:11" ht="61.5" customHeight="1">
      <c r="A26" s="48" t="s">
        <v>331</v>
      </c>
      <c r="B26" s="236">
        <v>2130</v>
      </c>
      <c r="C26" s="237"/>
      <c r="D26" s="237"/>
      <c r="E26" s="237"/>
      <c r="F26" s="50"/>
      <c r="G26" s="235"/>
    </row>
    <row r="27" spans="1:11" s="232" customFormat="1" ht="39.75" customHeight="1">
      <c r="A27" s="48" t="s">
        <v>253</v>
      </c>
      <c r="B27" s="236">
        <v>2140</v>
      </c>
      <c r="C27" s="237">
        <v>4044</v>
      </c>
      <c r="D27" s="237">
        <f>D28+D29+D30+D31+D32+D35+D37</f>
        <v>6727</v>
      </c>
      <c r="E27" s="237">
        <f>E28+E29+E30+E31+E32+E35+E37</f>
        <v>4816</v>
      </c>
      <c r="F27" s="25">
        <f t="shared" si="4"/>
        <v>-1911</v>
      </c>
      <c r="G27" s="26">
        <f t="shared" si="5"/>
        <v>71.592091571279909</v>
      </c>
      <c r="H27" s="246"/>
      <c r="I27" s="246"/>
      <c r="J27" s="246"/>
      <c r="K27" s="246"/>
    </row>
    <row r="28" spans="1:11">
      <c r="A28" s="1" t="s">
        <v>85</v>
      </c>
      <c r="B28" s="191">
        <v>2141</v>
      </c>
      <c r="C28" s="238"/>
      <c r="D28" s="238"/>
      <c r="E28" s="238"/>
      <c r="F28" s="25"/>
      <c r="G28" s="26"/>
    </row>
    <row r="29" spans="1:11">
      <c r="A29" s="1" t="s">
        <v>105</v>
      </c>
      <c r="B29" s="191">
        <v>2142</v>
      </c>
      <c r="C29" s="238"/>
      <c r="D29" s="238"/>
      <c r="E29" s="238"/>
      <c r="F29" s="25"/>
      <c r="G29" s="26"/>
    </row>
    <row r="30" spans="1:11">
      <c r="A30" s="1" t="s">
        <v>100</v>
      </c>
      <c r="B30" s="191">
        <v>2143</v>
      </c>
      <c r="C30" s="238"/>
      <c r="D30" s="238"/>
      <c r="E30" s="238"/>
      <c r="F30" s="25"/>
      <c r="G30" s="26"/>
    </row>
    <row r="31" spans="1:11">
      <c r="A31" s="1" t="s">
        <v>83</v>
      </c>
      <c r="B31" s="191">
        <v>2144</v>
      </c>
      <c r="C31" s="238">
        <v>3728</v>
      </c>
      <c r="D31" s="238">
        <v>6203</v>
      </c>
      <c r="E31" s="238">
        <v>4439</v>
      </c>
      <c r="F31" s="25">
        <f t="shared" si="4"/>
        <v>-1764</v>
      </c>
      <c r="G31" s="26">
        <f t="shared" si="5"/>
        <v>71.562147348057394</v>
      </c>
    </row>
    <row r="32" spans="1:11" s="234" customFormat="1">
      <c r="A32" s="1" t="s">
        <v>172</v>
      </c>
      <c r="B32" s="191">
        <v>2145</v>
      </c>
      <c r="C32" s="238"/>
      <c r="D32" s="238">
        <f>D33+D34</f>
        <v>0</v>
      </c>
      <c r="E32" s="238">
        <f>E33+E34</f>
        <v>0</v>
      </c>
      <c r="F32" s="25"/>
      <c r="G32" s="26"/>
      <c r="H32" s="244"/>
      <c r="I32" s="244"/>
      <c r="J32" s="244"/>
      <c r="K32" s="244"/>
    </row>
    <row r="33" spans="1:11" ht="46.5">
      <c r="A33" s="1" t="s">
        <v>132</v>
      </c>
      <c r="B33" s="191" t="s">
        <v>218</v>
      </c>
      <c r="C33" s="238"/>
      <c r="D33" s="238"/>
      <c r="E33" s="238"/>
      <c r="F33" s="25"/>
      <c r="G33" s="26"/>
    </row>
    <row r="34" spans="1:11">
      <c r="A34" s="1" t="s">
        <v>27</v>
      </c>
      <c r="B34" s="191" t="s">
        <v>219</v>
      </c>
      <c r="C34" s="238"/>
      <c r="D34" s="238"/>
      <c r="E34" s="238"/>
      <c r="F34" s="25"/>
      <c r="G34" s="26"/>
    </row>
    <row r="35" spans="1:11" s="234" customFormat="1">
      <c r="A35" s="1" t="s">
        <v>116</v>
      </c>
      <c r="B35" s="191">
        <v>2146</v>
      </c>
      <c r="C35" s="238">
        <v>6</v>
      </c>
      <c r="D35" s="238">
        <v>7</v>
      </c>
      <c r="E35" s="238">
        <f>E36</f>
        <v>7</v>
      </c>
      <c r="F35" s="25">
        <f t="shared" si="4"/>
        <v>0</v>
      </c>
      <c r="G35" s="26">
        <f t="shared" si="5"/>
        <v>100</v>
      </c>
      <c r="H35" s="244"/>
      <c r="I35" s="244"/>
      <c r="J35" s="244"/>
      <c r="K35" s="244"/>
    </row>
    <row r="36" spans="1:11" s="234" customFormat="1">
      <c r="A36" s="1" t="s">
        <v>435</v>
      </c>
      <c r="B36" s="191" t="s">
        <v>436</v>
      </c>
      <c r="C36" s="238">
        <v>6</v>
      </c>
      <c r="D36" s="238">
        <v>7</v>
      </c>
      <c r="E36" s="238">
        <v>7</v>
      </c>
      <c r="F36" s="25">
        <f t="shared" si="4"/>
        <v>0</v>
      </c>
      <c r="G36" s="26">
        <f t="shared" si="5"/>
        <v>100</v>
      </c>
      <c r="H36" s="244"/>
      <c r="I36" s="244"/>
      <c r="J36" s="244"/>
      <c r="K36" s="244"/>
    </row>
    <row r="37" spans="1:11">
      <c r="A37" s="1" t="s">
        <v>89</v>
      </c>
      <c r="B37" s="191">
        <v>2147</v>
      </c>
      <c r="C37" s="238">
        <v>310</v>
      </c>
      <c r="D37" s="238">
        <v>517</v>
      </c>
      <c r="E37" s="238">
        <f>E38+E39</f>
        <v>370</v>
      </c>
      <c r="F37" s="25">
        <f t="shared" si="4"/>
        <v>-147</v>
      </c>
      <c r="G37" s="26">
        <f t="shared" si="5"/>
        <v>71.566731141199227</v>
      </c>
    </row>
    <row r="38" spans="1:11">
      <c r="A38" s="2" t="s">
        <v>438</v>
      </c>
      <c r="B38" s="191" t="s">
        <v>437</v>
      </c>
      <c r="C38" s="238">
        <v>310</v>
      </c>
      <c r="D38" s="238">
        <v>517</v>
      </c>
      <c r="E38" s="238">
        <v>370</v>
      </c>
      <c r="F38" s="25">
        <f t="shared" si="4"/>
        <v>-147</v>
      </c>
      <c r="G38" s="26">
        <f t="shared" si="5"/>
        <v>71.566731141199227</v>
      </c>
    </row>
    <row r="39" spans="1:11">
      <c r="A39" s="1" t="s">
        <v>452</v>
      </c>
      <c r="B39" s="191" t="s">
        <v>453</v>
      </c>
      <c r="C39" s="238"/>
      <c r="D39" s="238">
        <v>0</v>
      </c>
      <c r="E39" s="238"/>
      <c r="F39" s="25">
        <f t="shared" si="4"/>
        <v>0</v>
      </c>
      <c r="G39" s="26"/>
    </row>
    <row r="40" spans="1:11" s="234" customFormat="1" ht="30">
      <c r="A40" s="48" t="s">
        <v>84</v>
      </c>
      <c r="B40" s="236">
        <v>2150</v>
      </c>
      <c r="C40" s="237">
        <v>4290</v>
      </c>
      <c r="D40" s="237">
        <v>7408</v>
      </c>
      <c r="E40" s="237">
        <f>'1. Фін результат'!E140</f>
        <v>5128</v>
      </c>
      <c r="F40" s="50">
        <f t="shared" si="4"/>
        <v>-2280</v>
      </c>
      <c r="G40" s="235">
        <f t="shared" si="5"/>
        <v>69.222462203023767</v>
      </c>
      <c r="H40" s="244"/>
      <c r="I40" s="244"/>
      <c r="J40" s="244"/>
      <c r="K40" s="244"/>
    </row>
    <row r="41" spans="1:11" s="234" customFormat="1" ht="15">
      <c r="A41" s="48" t="s">
        <v>348</v>
      </c>
      <c r="B41" s="236">
        <v>2200</v>
      </c>
      <c r="C41" s="237">
        <f>C40+C27+C26+C25+C24+C21</f>
        <v>10966</v>
      </c>
      <c r="D41" s="237">
        <f>D40+D27+D26+D25+D24+D21</f>
        <v>16273</v>
      </c>
      <c r="E41" s="237">
        <f>E40+E27+E26+E25+E24+E21</f>
        <v>10917.7</v>
      </c>
      <c r="F41" s="50">
        <f t="shared" si="4"/>
        <v>-5355.2999999999993</v>
      </c>
      <c r="G41" s="235">
        <f t="shared" si="5"/>
        <v>67.090886744914897</v>
      </c>
      <c r="H41" s="244"/>
      <c r="I41" s="244"/>
      <c r="J41" s="244"/>
      <c r="K41" s="244"/>
    </row>
    <row r="42" spans="1:11" s="234" customFormat="1" ht="16.5" customHeight="1">
      <c r="A42" s="239"/>
      <c r="B42" s="240"/>
      <c r="C42" s="240"/>
      <c r="D42" s="240"/>
      <c r="E42" s="240"/>
      <c r="F42" s="240"/>
      <c r="G42" s="240"/>
      <c r="H42" s="244"/>
      <c r="I42" s="244"/>
      <c r="J42" s="244"/>
      <c r="K42" s="244"/>
    </row>
    <row r="43" spans="1:11" s="7" customFormat="1" ht="30.5">
      <c r="A43" s="34" t="s">
        <v>522</v>
      </c>
      <c r="B43" s="35"/>
      <c r="C43" s="3"/>
      <c r="D43" s="3"/>
      <c r="E43" s="3"/>
      <c r="F43" s="3" t="s">
        <v>521</v>
      </c>
      <c r="G43" s="3"/>
      <c r="H43" s="247"/>
      <c r="I43" s="247"/>
      <c r="J43" s="247"/>
      <c r="K43" s="247"/>
    </row>
    <row r="44" spans="1:11" s="7" customFormat="1">
      <c r="A44" s="18" t="s">
        <v>368</v>
      </c>
      <c r="B44" s="284" t="s">
        <v>79</v>
      </c>
      <c r="C44" s="284"/>
      <c r="D44" s="284"/>
      <c r="E44" s="284"/>
      <c r="F44" s="3" t="s">
        <v>103</v>
      </c>
      <c r="H44" s="248"/>
      <c r="I44" s="247"/>
      <c r="J44" s="247"/>
      <c r="K44" s="247"/>
    </row>
    <row r="45" spans="1:11" s="231" customFormat="1" ht="29.25" customHeight="1">
      <c r="A45" s="241"/>
      <c r="B45" s="240"/>
      <c r="C45" s="240"/>
      <c r="D45" s="240"/>
      <c r="E45" s="240"/>
      <c r="F45" s="240"/>
      <c r="G45" s="240"/>
      <c r="H45" s="243"/>
      <c r="I45" s="243"/>
      <c r="J45" s="249"/>
      <c r="K45" s="249"/>
    </row>
    <row r="46" spans="1:11" s="7" customFormat="1" ht="80.25" customHeight="1">
      <c r="A46" s="283"/>
      <c r="B46" s="283"/>
      <c r="C46" s="283"/>
      <c r="D46" s="283"/>
      <c r="E46" s="283"/>
      <c r="F46" s="283"/>
      <c r="G46" s="283"/>
      <c r="H46" s="283"/>
      <c r="I46" s="247"/>
      <c r="J46" s="247"/>
      <c r="K46" s="247"/>
    </row>
    <row r="47" spans="1:11" s="231" customFormat="1">
      <c r="A47" s="242"/>
      <c r="H47" s="243"/>
      <c r="I47" s="243"/>
      <c r="J47" s="249"/>
      <c r="K47" s="249"/>
    </row>
    <row r="48" spans="1:11" s="231" customFormat="1">
      <c r="A48" s="242"/>
      <c r="H48" s="243"/>
      <c r="I48" s="243"/>
      <c r="J48" s="249"/>
      <c r="K48" s="249"/>
    </row>
    <row r="49" spans="1:11" s="231" customFormat="1">
      <c r="A49" s="242"/>
      <c r="H49" s="243"/>
      <c r="I49" s="243"/>
      <c r="J49" s="249"/>
      <c r="K49" s="249"/>
    </row>
    <row r="50" spans="1:11" s="231" customFormat="1">
      <c r="A50" s="242"/>
      <c r="H50" s="243"/>
      <c r="I50" s="243"/>
      <c r="J50" s="249"/>
      <c r="K50" s="249"/>
    </row>
    <row r="51" spans="1:11" s="231" customFormat="1">
      <c r="A51" s="242"/>
      <c r="H51" s="243"/>
      <c r="I51" s="243"/>
      <c r="J51" s="249"/>
      <c r="K51" s="249"/>
    </row>
    <row r="52" spans="1:11" s="231" customFormat="1">
      <c r="A52" s="242"/>
      <c r="H52" s="243"/>
      <c r="I52" s="243"/>
      <c r="J52" s="249"/>
      <c r="K52" s="249"/>
    </row>
    <row r="53" spans="1:11" s="231" customFormat="1">
      <c r="A53" s="242"/>
      <c r="H53" s="243"/>
      <c r="I53" s="243"/>
      <c r="J53" s="249"/>
      <c r="K53" s="249"/>
    </row>
    <row r="54" spans="1:11" s="231" customFormat="1">
      <c r="A54" s="242"/>
      <c r="H54" s="243"/>
      <c r="I54" s="243"/>
      <c r="J54" s="249"/>
      <c r="K54" s="249"/>
    </row>
    <row r="55" spans="1:11" s="231" customFormat="1">
      <c r="A55" s="242"/>
      <c r="H55" s="243"/>
      <c r="I55" s="243"/>
      <c r="J55" s="249"/>
      <c r="K55" s="249"/>
    </row>
    <row r="56" spans="1:11" s="231" customFormat="1">
      <c r="A56" s="242"/>
      <c r="H56" s="243"/>
      <c r="I56" s="243"/>
      <c r="J56" s="249"/>
      <c r="K56" s="249"/>
    </row>
    <row r="57" spans="1:11" s="231" customFormat="1">
      <c r="A57" s="242"/>
      <c r="H57" s="243"/>
      <c r="I57" s="243"/>
      <c r="J57" s="249"/>
      <c r="K57" s="249"/>
    </row>
    <row r="58" spans="1:11" s="231" customFormat="1">
      <c r="A58" s="242"/>
      <c r="H58" s="243"/>
      <c r="I58" s="243"/>
      <c r="J58" s="249"/>
      <c r="K58" s="249"/>
    </row>
    <row r="59" spans="1:11" s="231" customFormat="1">
      <c r="A59" s="242"/>
      <c r="H59" s="243"/>
      <c r="I59" s="243"/>
      <c r="J59" s="249"/>
      <c r="K59" s="249"/>
    </row>
    <row r="60" spans="1:11" s="231" customFormat="1">
      <c r="A60" s="242"/>
      <c r="H60" s="243"/>
      <c r="I60" s="243"/>
      <c r="J60" s="249"/>
      <c r="K60" s="249"/>
    </row>
    <row r="61" spans="1:11" s="231" customFormat="1">
      <c r="A61" s="242"/>
      <c r="H61" s="243"/>
      <c r="I61" s="243"/>
      <c r="J61" s="249"/>
      <c r="K61" s="249"/>
    </row>
    <row r="62" spans="1:11" s="231" customFormat="1">
      <c r="A62" s="242"/>
      <c r="H62" s="243"/>
      <c r="I62" s="243"/>
      <c r="J62" s="249"/>
      <c r="K62" s="249"/>
    </row>
    <row r="63" spans="1:11" s="231" customFormat="1">
      <c r="A63" s="242"/>
      <c r="H63" s="243"/>
      <c r="I63" s="243"/>
      <c r="J63" s="249"/>
      <c r="K63" s="249"/>
    </row>
    <row r="64" spans="1:11" s="231" customFormat="1">
      <c r="A64" s="242"/>
      <c r="H64" s="243"/>
      <c r="I64" s="243"/>
      <c r="J64" s="249"/>
      <c r="K64" s="249"/>
    </row>
    <row r="65" spans="1:11" s="231" customFormat="1">
      <c r="A65" s="242"/>
      <c r="H65" s="243"/>
      <c r="I65" s="243"/>
      <c r="J65" s="249"/>
      <c r="K65" s="249"/>
    </row>
    <row r="66" spans="1:11" s="231" customFormat="1">
      <c r="A66" s="242"/>
      <c r="H66" s="243"/>
      <c r="I66" s="243"/>
      <c r="J66" s="249"/>
      <c r="K66" s="249"/>
    </row>
    <row r="67" spans="1:11" s="231" customFormat="1">
      <c r="A67" s="242"/>
      <c r="H67" s="243"/>
      <c r="I67" s="243"/>
      <c r="J67" s="249"/>
      <c r="K67" s="249"/>
    </row>
    <row r="68" spans="1:11" s="231" customFormat="1">
      <c r="A68" s="242"/>
      <c r="H68" s="243"/>
      <c r="I68" s="243"/>
      <c r="J68" s="249"/>
      <c r="K68" s="249"/>
    </row>
    <row r="69" spans="1:11" s="231" customFormat="1">
      <c r="A69" s="242"/>
      <c r="H69" s="243"/>
      <c r="I69" s="243"/>
      <c r="J69" s="249"/>
      <c r="K69" s="249"/>
    </row>
    <row r="70" spans="1:11" s="231" customFormat="1">
      <c r="A70" s="242"/>
      <c r="H70" s="243"/>
      <c r="I70" s="243"/>
      <c r="J70" s="249"/>
      <c r="K70" s="249"/>
    </row>
    <row r="71" spans="1:11" s="231" customFormat="1">
      <c r="A71" s="242"/>
      <c r="H71" s="243"/>
      <c r="I71" s="243"/>
      <c r="J71" s="249"/>
      <c r="K71" s="249"/>
    </row>
    <row r="72" spans="1:11" s="231" customFormat="1">
      <c r="A72" s="242"/>
      <c r="H72" s="243"/>
      <c r="I72" s="243"/>
      <c r="J72" s="249"/>
      <c r="K72" s="249"/>
    </row>
    <row r="73" spans="1:11" s="231" customFormat="1">
      <c r="A73" s="242"/>
      <c r="H73" s="243"/>
      <c r="I73" s="243"/>
      <c r="J73" s="249"/>
      <c r="K73" s="249"/>
    </row>
    <row r="74" spans="1:11" s="231" customFormat="1">
      <c r="A74" s="242"/>
      <c r="H74" s="243"/>
      <c r="I74" s="243"/>
      <c r="J74" s="249"/>
      <c r="K74" s="249"/>
    </row>
    <row r="75" spans="1:11" s="231" customFormat="1">
      <c r="A75" s="242"/>
      <c r="H75" s="243"/>
      <c r="I75" s="243"/>
      <c r="J75" s="249"/>
      <c r="K75" s="249"/>
    </row>
    <row r="76" spans="1:11" s="231" customFormat="1">
      <c r="A76" s="242"/>
      <c r="H76" s="243"/>
      <c r="I76" s="243"/>
      <c r="J76" s="249"/>
      <c r="K76" s="249"/>
    </row>
    <row r="77" spans="1:11" s="231" customFormat="1">
      <c r="A77" s="242"/>
      <c r="H77" s="243"/>
      <c r="I77" s="243"/>
      <c r="J77" s="249"/>
      <c r="K77" s="249"/>
    </row>
    <row r="78" spans="1:11" s="231" customFormat="1">
      <c r="A78" s="242"/>
      <c r="H78" s="243"/>
      <c r="I78" s="243"/>
      <c r="J78" s="249"/>
      <c r="K78" s="249"/>
    </row>
    <row r="79" spans="1:11" s="231" customFormat="1">
      <c r="A79" s="242"/>
      <c r="H79" s="243"/>
      <c r="I79" s="243"/>
      <c r="J79" s="249"/>
      <c r="K79" s="249"/>
    </row>
    <row r="80" spans="1:11" s="231" customFormat="1">
      <c r="A80" s="242"/>
      <c r="H80" s="243"/>
      <c r="I80" s="243"/>
      <c r="J80" s="249"/>
      <c r="K80" s="249"/>
    </row>
    <row r="81" spans="1:11" s="231" customFormat="1">
      <c r="A81" s="242"/>
      <c r="H81" s="243"/>
      <c r="I81" s="243"/>
      <c r="J81" s="249"/>
      <c r="K81" s="249"/>
    </row>
    <row r="82" spans="1:11" s="231" customFormat="1">
      <c r="A82" s="242"/>
      <c r="H82" s="243"/>
      <c r="I82" s="243"/>
      <c r="J82" s="249"/>
      <c r="K82" s="249"/>
    </row>
    <row r="83" spans="1:11" s="231" customFormat="1">
      <c r="A83" s="242"/>
      <c r="H83" s="243"/>
      <c r="I83" s="243"/>
      <c r="J83" s="249"/>
      <c r="K83" s="249"/>
    </row>
    <row r="84" spans="1:11" s="231" customFormat="1">
      <c r="A84" s="242"/>
      <c r="H84" s="243"/>
      <c r="I84" s="243"/>
      <c r="J84" s="249"/>
      <c r="K84" s="249"/>
    </row>
    <row r="85" spans="1:11" s="231" customFormat="1">
      <c r="A85" s="242"/>
      <c r="H85" s="243"/>
      <c r="I85" s="243"/>
      <c r="J85" s="249"/>
      <c r="K85" s="249"/>
    </row>
    <row r="86" spans="1:11" s="231" customFormat="1">
      <c r="A86" s="242"/>
      <c r="H86" s="243"/>
      <c r="I86" s="243"/>
      <c r="J86" s="249"/>
      <c r="K86" s="249"/>
    </row>
    <row r="87" spans="1:11" s="231" customFormat="1">
      <c r="A87" s="242"/>
      <c r="H87" s="243"/>
      <c r="I87" s="243"/>
      <c r="J87" s="249"/>
      <c r="K87" s="249"/>
    </row>
    <row r="88" spans="1:11" s="231" customFormat="1">
      <c r="A88" s="242"/>
      <c r="H88" s="243"/>
      <c r="I88" s="243"/>
      <c r="J88" s="249"/>
      <c r="K88" s="249"/>
    </row>
    <row r="89" spans="1:11" s="231" customFormat="1">
      <c r="A89" s="242"/>
      <c r="H89" s="243"/>
      <c r="I89" s="243"/>
      <c r="J89" s="249"/>
      <c r="K89" s="249"/>
    </row>
    <row r="90" spans="1:11" s="231" customFormat="1">
      <c r="A90" s="242"/>
      <c r="H90" s="243"/>
      <c r="I90" s="243"/>
      <c r="J90" s="249"/>
      <c r="K90" s="249"/>
    </row>
    <row r="91" spans="1:11" s="231" customFormat="1">
      <c r="A91" s="242"/>
      <c r="H91" s="243"/>
      <c r="I91" s="243"/>
      <c r="J91" s="249"/>
      <c r="K91" s="249"/>
    </row>
    <row r="92" spans="1:11" s="231" customFormat="1">
      <c r="A92" s="242"/>
      <c r="H92" s="243"/>
      <c r="I92" s="243"/>
      <c r="J92" s="249"/>
      <c r="K92" s="249"/>
    </row>
    <row r="93" spans="1:11" s="231" customFormat="1">
      <c r="A93" s="242"/>
      <c r="H93" s="243"/>
      <c r="I93" s="243"/>
      <c r="J93" s="249"/>
      <c r="K93" s="249"/>
    </row>
    <row r="94" spans="1:11" s="231" customFormat="1">
      <c r="A94" s="242"/>
      <c r="H94" s="243"/>
      <c r="I94" s="243"/>
      <c r="J94" s="249"/>
      <c r="K94" s="249"/>
    </row>
    <row r="95" spans="1:11" s="231" customFormat="1">
      <c r="A95" s="242"/>
      <c r="H95" s="243"/>
      <c r="I95" s="243"/>
      <c r="J95" s="249"/>
      <c r="K95" s="249"/>
    </row>
    <row r="96" spans="1:11" s="231" customFormat="1">
      <c r="A96" s="242"/>
      <c r="H96" s="243"/>
      <c r="I96" s="243"/>
      <c r="J96" s="249"/>
      <c r="K96" s="249"/>
    </row>
    <row r="97" spans="1:11" s="231" customFormat="1">
      <c r="A97" s="242"/>
      <c r="H97" s="243"/>
      <c r="I97" s="243"/>
      <c r="J97" s="249"/>
      <c r="K97" s="249"/>
    </row>
    <row r="98" spans="1:11" s="231" customFormat="1">
      <c r="A98" s="242"/>
      <c r="H98" s="243"/>
      <c r="I98" s="243"/>
      <c r="J98" s="249"/>
      <c r="K98" s="249"/>
    </row>
    <row r="99" spans="1:11" s="231" customFormat="1">
      <c r="A99" s="242"/>
      <c r="H99" s="243"/>
      <c r="I99" s="243"/>
      <c r="J99" s="249"/>
      <c r="K99" s="249"/>
    </row>
    <row r="100" spans="1:11" s="231" customFormat="1">
      <c r="A100" s="242"/>
      <c r="H100" s="243"/>
      <c r="I100" s="243"/>
      <c r="J100" s="249"/>
      <c r="K100" s="249"/>
    </row>
    <row r="101" spans="1:11" s="231" customFormat="1">
      <c r="A101" s="242"/>
      <c r="H101" s="243"/>
      <c r="I101" s="243"/>
      <c r="J101" s="249"/>
      <c r="K101" s="249"/>
    </row>
    <row r="102" spans="1:11" s="231" customFormat="1">
      <c r="A102" s="242"/>
      <c r="H102" s="243"/>
      <c r="I102" s="243"/>
      <c r="J102" s="249"/>
      <c r="K102" s="249"/>
    </row>
    <row r="103" spans="1:11" s="231" customFormat="1">
      <c r="A103" s="242"/>
      <c r="H103" s="243"/>
      <c r="I103" s="243"/>
      <c r="J103" s="249"/>
      <c r="K103" s="249"/>
    </row>
    <row r="104" spans="1:11" s="231" customFormat="1">
      <c r="A104" s="242"/>
      <c r="H104" s="243"/>
      <c r="I104" s="243"/>
      <c r="J104" s="249"/>
      <c r="K104" s="249"/>
    </row>
    <row r="105" spans="1:11" s="231" customFormat="1">
      <c r="A105" s="242"/>
      <c r="H105" s="243"/>
      <c r="I105" s="243"/>
      <c r="J105" s="249"/>
      <c r="K105" s="249"/>
    </row>
    <row r="106" spans="1:11" s="231" customFormat="1">
      <c r="A106" s="242"/>
      <c r="H106" s="243"/>
      <c r="I106" s="243"/>
      <c r="J106" s="249"/>
      <c r="K106" s="249"/>
    </row>
    <row r="107" spans="1:11" s="231" customFormat="1">
      <c r="A107" s="242"/>
      <c r="H107" s="243"/>
      <c r="I107" s="243"/>
      <c r="J107" s="249"/>
      <c r="K107" s="249"/>
    </row>
    <row r="108" spans="1:11" s="231" customFormat="1">
      <c r="A108" s="242"/>
      <c r="H108" s="243"/>
      <c r="I108" s="243"/>
      <c r="J108" s="249"/>
      <c r="K108" s="249"/>
    </row>
    <row r="109" spans="1:11" s="231" customFormat="1">
      <c r="A109" s="242"/>
      <c r="H109" s="243"/>
      <c r="I109" s="243"/>
      <c r="J109" s="249"/>
      <c r="K109" s="249"/>
    </row>
    <row r="110" spans="1:11" s="231" customFormat="1">
      <c r="A110" s="242"/>
      <c r="H110" s="243"/>
      <c r="I110" s="243"/>
      <c r="J110" s="249"/>
      <c r="K110" s="249"/>
    </row>
    <row r="111" spans="1:11" s="231" customFormat="1">
      <c r="A111" s="242"/>
      <c r="H111" s="243"/>
      <c r="I111" s="243"/>
      <c r="J111" s="249"/>
      <c r="K111" s="249"/>
    </row>
    <row r="112" spans="1:11" s="231" customFormat="1">
      <c r="A112" s="242"/>
      <c r="H112" s="243"/>
      <c r="I112" s="243"/>
      <c r="J112" s="249"/>
      <c r="K112" s="249"/>
    </row>
    <row r="113" spans="1:11" s="231" customFormat="1">
      <c r="A113" s="242"/>
      <c r="H113" s="243"/>
      <c r="I113" s="243"/>
      <c r="J113" s="249"/>
      <c r="K113" s="249"/>
    </row>
    <row r="114" spans="1:11" s="231" customFormat="1">
      <c r="A114" s="242"/>
      <c r="H114" s="243"/>
      <c r="I114" s="243"/>
      <c r="J114" s="249"/>
      <c r="K114" s="249"/>
    </row>
    <row r="115" spans="1:11" s="231" customFormat="1">
      <c r="A115" s="242"/>
      <c r="H115" s="243"/>
      <c r="I115" s="243"/>
      <c r="J115" s="249"/>
      <c r="K115" s="249"/>
    </row>
    <row r="116" spans="1:11" s="231" customFormat="1">
      <c r="A116" s="242"/>
      <c r="H116" s="243"/>
      <c r="I116" s="243"/>
      <c r="J116" s="249"/>
      <c r="K116" s="249"/>
    </row>
    <row r="117" spans="1:11" s="231" customFormat="1">
      <c r="A117" s="242"/>
      <c r="H117" s="243"/>
      <c r="I117" s="243"/>
      <c r="J117" s="249"/>
      <c r="K117" s="249"/>
    </row>
    <row r="118" spans="1:11" s="231" customFormat="1">
      <c r="A118" s="242"/>
      <c r="H118" s="243"/>
      <c r="I118" s="243"/>
      <c r="J118" s="249"/>
      <c r="K118" s="249"/>
    </row>
    <row r="119" spans="1:11" s="231" customFormat="1">
      <c r="A119" s="242"/>
      <c r="H119" s="243"/>
      <c r="I119" s="243"/>
      <c r="J119" s="249"/>
      <c r="K119" s="249"/>
    </row>
    <row r="120" spans="1:11" s="231" customFormat="1">
      <c r="A120" s="242"/>
      <c r="H120" s="243"/>
      <c r="I120" s="243"/>
      <c r="J120" s="249"/>
      <c r="K120" s="249"/>
    </row>
    <row r="121" spans="1:11" s="231" customFormat="1">
      <c r="A121" s="242"/>
      <c r="H121" s="243"/>
      <c r="I121" s="243"/>
      <c r="J121" s="249"/>
      <c r="K121" s="249"/>
    </row>
    <row r="122" spans="1:11" s="231" customFormat="1">
      <c r="A122" s="242"/>
      <c r="H122" s="243"/>
      <c r="I122" s="243"/>
      <c r="J122" s="249"/>
      <c r="K122" s="249"/>
    </row>
    <row r="123" spans="1:11" s="231" customFormat="1">
      <c r="A123" s="242"/>
      <c r="H123" s="243"/>
      <c r="I123" s="243"/>
      <c r="J123" s="249"/>
      <c r="K123" s="249"/>
    </row>
    <row r="124" spans="1:11" s="231" customFormat="1">
      <c r="A124" s="242"/>
      <c r="H124" s="243"/>
      <c r="I124" s="243"/>
      <c r="J124" s="249"/>
      <c r="K124" s="249"/>
    </row>
    <row r="125" spans="1:11" s="231" customFormat="1">
      <c r="A125" s="242"/>
      <c r="H125" s="243"/>
      <c r="I125" s="243"/>
      <c r="J125" s="249"/>
      <c r="K125" s="249"/>
    </row>
    <row r="126" spans="1:11" s="231" customFormat="1">
      <c r="A126" s="242"/>
      <c r="H126" s="243"/>
      <c r="I126" s="243"/>
      <c r="J126" s="249"/>
      <c r="K126" s="249"/>
    </row>
    <row r="127" spans="1:11" s="231" customFormat="1">
      <c r="A127" s="242"/>
      <c r="H127" s="243"/>
      <c r="I127" s="243"/>
      <c r="J127" s="249"/>
      <c r="K127" s="249"/>
    </row>
    <row r="128" spans="1:11" s="231" customFormat="1">
      <c r="A128" s="242"/>
      <c r="H128" s="243"/>
      <c r="I128" s="243"/>
      <c r="J128" s="249"/>
      <c r="K128" s="249"/>
    </row>
    <row r="129" spans="1:11" s="231" customFormat="1">
      <c r="A129" s="242"/>
      <c r="H129" s="243"/>
      <c r="I129" s="243"/>
      <c r="J129" s="249"/>
      <c r="K129" s="249"/>
    </row>
    <row r="130" spans="1:11" s="231" customFormat="1">
      <c r="A130" s="242"/>
      <c r="H130" s="243"/>
      <c r="I130" s="243"/>
      <c r="J130" s="249"/>
      <c r="K130" s="249"/>
    </row>
    <row r="131" spans="1:11" s="231" customFormat="1">
      <c r="A131" s="242"/>
      <c r="H131" s="243"/>
      <c r="I131" s="243"/>
      <c r="J131" s="249"/>
      <c r="K131" s="249"/>
    </row>
    <row r="132" spans="1:11" s="231" customFormat="1">
      <c r="A132" s="242"/>
      <c r="H132" s="243"/>
      <c r="I132" s="243"/>
      <c r="J132" s="249"/>
      <c r="K132" s="249"/>
    </row>
    <row r="133" spans="1:11" s="231" customFormat="1">
      <c r="A133" s="242"/>
      <c r="H133" s="243"/>
      <c r="I133" s="243"/>
      <c r="J133" s="249"/>
      <c r="K133" s="249"/>
    </row>
    <row r="134" spans="1:11" s="231" customFormat="1">
      <c r="A134" s="242"/>
      <c r="H134" s="243"/>
      <c r="I134" s="243"/>
      <c r="J134" s="249"/>
      <c r="K134" s="249"/>
    </row>
    <row r="135" spans="1:11" s="231" customFormat="1">
      <c r="A135" s="242"/>
      <c r="H135" s="243"/>
      <c r="I135" s="243"/>
      <c r="J135" s="249"/>
      <c r="K135" s="249"/>
    </row>
    <row r="136" spans="1:11" s="231" customFormat="1">
      <c r="A136" s="242"/>
      <c r="H136" s="243"/>
      <c r="I136" s="243"/>
      <c r="J136" s="249"/>
      <c r="K136" s="249"/>
    </row>
    <row r="137" spans="1:11" s="231" customFormat="1">
      <c r="A137" s="242"/>
      <c r="H137" s="243"/>
      <c r="I137" s="243"/>
      <c r="J137" s="249"/>
      <c r="K137" s="249"/>
    </row>
    <row r="138" spans="1:11" s="231" customFormat="1">
      <c r="A138" s="242"/>
      <c r="H138" s="243"/>
      <c r="I138" s="243"/>
      <c r="J138" s="249"/>
      <c r="K138" s="249"/>
    </row>
    <row r="139" spans="1:11" s="231" customFormat="1">
      <c r="A139" s="242"/>
      <c r="H139" s="243"/>
      <c r="I139" s="243"/>
      <c r="J139" s="249"/>
      <c r="K139" s="249"/>
    </row>
    <row r="140" spans="1:11" s="231" customFormat="1">
      <c r="A140" s="242"/>
      <c r="H140" s="243"/>
      <c r="I140" s="243"/>
      <c r="J140" s="249"/>
      <c r="K140" s="249"/>
    </row>
    <row r="141" spans="1:11" s="231" customFormat="1">
      <c r="A141" s="242"/>
      <c r="H141" s="243"/>
      <c r="I141" s="243"/>
      <c r="J141" s="249"/>
      <c r="K141" s="249"/>
    </row>
    <row r="142" spans="1:11" s="231" customFormat="1">
      <c r="A142" s="242"/>
      <c r="H142" s="243"/>
      <c r="I142" s="243"/>
      <c r="J142" s="249"/>
      <c r="K142" s="249"/>
    </row>
    <row r="143" spans="1:11" s="231" customFormat="1">
      <c r="A143" s="242"/>
      <c r="H143" s="243"/>
      <c r="I143" s="243"/>
      <c r="J143" s="249"/>
      <c r="K143" s="249"/>
    </row>
    <row r="144" spans="1:11" s="231" customFormat="1">
      <c r="A144" s="242"/>
      <c r="H144" s="243"/>
      <c r="I144" s="243"/>
      <c r="J144" s="249"/>
      <c r="K144" s="249"/>
    </row>
    <row r="145" spans="1:11" s="231" customFormat="1">
      <c r="A145" s="242"/>
      <c r="H145" s="243"/>
      <c r="I145" s="243"/>
      <c r="J145" s="249"/>
      <c r="K145" s="249"/>
    </row>
    <row r="146" spans="1:11" s="231" customFormat="1">
      <c r="A146" s="242"/>
      <c r="H146" s="243"/>
      <c r="I146" s="243"/>
      <c r="J146" s="249"/>
      <c r="K146" s="249"/>
    </row>
    <row r="147" spans="1:11" s="231" customFormat="1">
      <c r="A147" s="242"/>
      <c r="H147" s="243"/>
      <c r="I147" s="243"/>
      <c r="J147" s="249"/>
      <c r="K147" s="249"/>
    </row>
    <row r="148" spans="1:11" s="231" customFormat="1">
      <c r="A148" s="242"/>
      <c r="H148" s="243"/>
      <c r="I148" s="243"/>
      <c r="J148" s="249"/>
      <c r="K148" s="249"/>
    </row>
    <row r="149" spans="1:11" s="231" customFormat="1">
      <c r="A149" s="242"/>
      <c r="H149" s="243"/>
      <c r="I149" s="243"/>
      <c r="J149" s="249"/>
      <c r="K149" s="249"/>
    </row>
    <row r="150" spans="1:11" s="231" customFormat="1">
      <c r="A150" s="242"/>
      <c r="H150" s="243"/>
      <c r="I150" s="243"/>
      <c r="J150" s="249"/>
      <c r="K150" s="249"/>
    </row>
    <row r="151" spans="1:11" s="231" customFormat="1">
      <c r="A151" s="242"/>
      <c r="H151" s="243"/>
      <c r="I151" s="243"/>
      <c r="J151" s="249"/>
      <c r="K151" s="249"/>
    </row>
    <row r="152" spans="1:11" s="231" customFormat="1">
      <c r="A152" s="242"/>
      <c r="H152" s="243"/>
      <c r="I152" s="243"/>
      <c r="J152" s="249"/>
      <c r="K152" s="249"/>
    </row>
    <row r="153" spans="1:11" s="231" customFormat="1">
      <c r="A153" s="242"/>
      <c r="H153" s="243"/>
      <c r="I153" s="243"/>
      <c r="J153" s="249"/>
      <c r="K153" s="249"/>
    </row>
    <row r="154" spans="1:11" s="231" customFormat="1">
      <c r="A154" s="242"/>
      <c r="H154" s="243"/>
      <c r="I154" s="243"/>
      <c r="J154" s="249"/>
      <c r="K154" s="249"/>
    </row>
    <row r="155" spans="1:11" s="231" customFormat="1">
      <c r="A155" s="242"/>
      <c r="H155" s="243"/>
      <c r="I155" s="243"/>
      <c r="J155" s="249"/>
      <c r="K155" s="249"/>
    </row>
    <row r="156" spans="1:11" s="231" customFormat="1">
      <c r="A156" s="242"/>
      <c r="H156" s="243"/>
      <c r="I156" s="243"/>
      <c r="J156" s="249"/>
      <c r="K156" s="249"/>
    </row>
    <row r="157" spans="1:11" s="231" customFormat="1">
      <c r="A157" s="242"/>
      <c r="H157" s="243"/>
      <c r="I157" s="243"/>
      <c r="J157" s="249"/>
      <c r="K157" s="249"/>
    </row>
    <row r="158" spans="1:11" s="231" customFormat="1">
      <c r="A158" s="242"/>
      <c r="H158" s="243"/>
      <c r="I158" s="243"/>
      <c r="J158" s="249"/>
      <c r="K158" s="249"/>
    </row>
    <row r="159" spans="1:11" s="231" customFormat="1">
      <c r="A159" s="242"/>
      <c r="H159" s="243"/>
      <c r="I159" s="243"/>
      <c r="J159" s="249"/>
      <c r="K159" s="249"/>
    </row>
    <row r="160" spans="1:11" s="231" customFormat="1">
      <c r="A160" s="242"/>
      <c r="H160" s="243"/>
      <c r="I160" s="243"/>
      <c r="J160" s="249"/>
      <c r="K160" s="249"/>
    </row>
    <row r="161" spans="1:11" s="231" customFormat="1">
      <c r="A161" s="242"/>
      <c r="H161" s="243"/>
      <c r="I161" s="243"/>
      <c r="J161" s="249"/>
      <c r="K161" s="249"/>
    </row>
    <row r="162" spans="1:11" s="231" customFormat="1">
      <c r="A162" s="242"/>
      <c r="H162" s="243"/>
      <c r="I162" s="243"/>
      <c r="J162" s="249"/>
      <c r="K162" s="249"/>
    </row>
    <row r="163" spans="1:11" s="231" customFormat="1">
      <c r="A163" s="242"/>
      <c r="H163" s="243"/>
      <c r="I163" s="243"/>
      <c r="J163" s="249"/>
      <c r="K163" s="249"/>
    </row>
    <row r="164" spans="1:11" s="231" customFormat="1">
      <c r="A164" s="242"/>
      <c r="H164" s="243"/>
      <c r="I164" s="243"/>
      <c r="J164" s="249"/>
      <c r="K164" s="249"/>
    </row>
    <row r="165" spans="1:11" s="231" customFormat="1">
      <c r="A165" s="242"/>
      <c r="H165" s="243"/>
      <c r="I165" s="243"/>
      <c r="J165" s="249"/>
      <c r="K165" s="249"/>
    </row>
    <row r="166" spans="1:11" s="231" customFormat="1">
      <c r="A166" s="242"/>
      <c r="H166" s="243"/>
      <c r="I166" s="243"/>
      <c r="J166" s="249"/>
      <c r="K166" s="249"/>
    </row>
    <row r="167" spans="1:11" s="231" customFormat="1">
      <c r="A167" s="242"/>
      <c r="H167" s="243"/>
      <c r="I167" s="243"/>
      <c r="J167" s="249"/>
      <c r="K167" s="249"/>
    </row>
    <row r="168" spans="1:11" s="231" customFormat="1">
      <c r="A168" s="242"/>
      <c r="H168" s="243"/>
      <c r="I168" s="243"/>
      <c r="J168" s="249"/>
      <c r="K168" s="249"/>
    </row>
    <row r="169" spans="1:11" s="231" customFormat="1">
      <c r="A169" s="242"/>
      <c r="H169" s="243"/>
      <c r="I169" s="243"/>
      <c r="J169" s="249"/>
      <c r="K169" s="249"/>
    </row>
    <row r="170" spans="1:11" s="231" customFormat="1">
      <c r="A170" s="242"/>
      <c r="H170" s="243"/>
      <c r="I170" s="243"/>
      <c r="J170" s="249"/>
      <c r="K170" s="249"/>
    </row>
    <row r="171" spans="1:11" s="231" customFormat="1">
      <c r="A171" s="242"/>
      <c r="H171" s="243"/>
      <c r="I171" s="243"/>
      <c r="J171" s="249"/>
      <c r="K171" s="249"/>
    </row>
    <row r="172" spans="1:11" s="231" customFormat="1">
      <c r="A172" s="242"/>
      <c r="H172" s="243"/>
      <c r="I172" s="243"/>
      <c r="J172" s="249"/>
      <c r="K172" s="249"/>
    </row>
    <row r="173" spans="1:11" s="231" customFormat="1">
      <c r="A173" s="242"/>
      <c r="H173" s="243"/>
      <c r="I173" s="243"/>
      <c r="J173" s="249"/>
      <c r="K173" s="249"/>
    </row>
    <row r="174" spans="1:11" s="231" customFormat="1">
      <c r="A174" s="242"/>
      <c r="H174" s="243"/>
      <c r="I174" s="243"/>
      <c r="J174" s="249"/>
      <c r="K174" s="249"/>
    </row>
    <row r="175" spans="1:11" s="231" customFormat="1">
      <c r="A175" s="242"/>
      <c r="H175" s="243"/>
      <c r="I175" s="243"/>
      <c r="J175" s="249"/>
      <c r="K175" s="249"/>
    </row>
    <row r="176" spans="1:11" s="231" customFormat="1">
      <c r="A176" s="242"/>
      <c r="H176" s="243"/>
      <c r="I176" s="243"/>
      <c r="J176" s="249"/>
      <c r="K176" s="249"/>
    </row>
    <row r="177" spans="1:11" s="231" customFormat="1">
      <c r="A177" s="242"/>
      <c r="H177" s="243"/>
      <c r="I177" s="243"/>
      <c r="J177" s="249"/>
      <c r="K177" s="249"/>
    </row>
    <row r="178" spans="1:11" s="231" customFormat="1">
      <c r="A178" s="242"/>
      <c r="H178" s="243"/>
      <c r="I178" s="243"/>
      <c r="J178" s="249"/>
      <c r="K178" s="249"/>
    </row>
    <row r="179" spans="1:11" s="231" customFormat="1">
      <c r="A179" s="242"/>
      <c r="H179" s="243"/>
      <c r="I179" s="243"/>
      <c r="J179" s="249"/>
      <c r="K179" s="249"/>
    </row>
    <row r="180" spans="1:11" s="231" customFormat="1">
      <c r="A180" s="242"/>
      <c r="H180" s="243"/>
      <c r="I180" s="243"/>
      <c r="J180" s="249"/>
      <c r="K180" s="249"/>
    </row>
    <row r="181" spans="1:11" s="231" customFormat="1">
      <c r="A181" s="242"/>
      <c r="H181" s="243"/>
      <c r="I181" s="243"/>
      <c r="J181" s="249"/>
      <c r="K181" s="249"/>
    </row>
    <row r="182" spans="1:11" s="231" customFormat="1">
      <c r="A182" s="242"/>
      <c r="H182" s="243"/>
      <c r="I182" s="243"/>
      <c r="J182" s="249"/>
      <c r="K182" s="249"/>
    </row>
    <row r="183" spans="1:11" s="231" customFormat="1">
      <c r="A183" s="242"/>
      <c r="H183" s="243"/>
      <c r="I183" s="243"/>
      <c r="J183" s="249"/>
      <c r="K183" s="249"/>
    </row>
    <row r="184" spans="1:11" s="231" customFormat="1">
      <c r="A184" s="242"/>
      <c r="H184" s="243"/>
      <c r="I184" s="243"/>
      <c r="J184" s="249"/>
      <c r="K184" s="249"/>
    </row>
    <row r="185" spans="1:11" s="231" customFormat="1">
      <c r="A185" s="242"/>
      <c r="H185" s="243"/>
      <c r="I185" s="243"/>
      <c r="J185" s="249"/>
      <c r="K185" s="249"/>
    </row>
    <row r="186" spans="1:11" s="231" customFormat="1">
      <c r="A186" s="242"/>
      <c r="H186" s="243"/>
      <c r="I186" s="243"/>
      <c r="J186" s="249"/>
      <c r="K186" s="249"/>
    </row>
    <row r="187" spans="1:11" s="231" customFormat="1">
      <c r="A187" s="242"/>
      <c r="H187" s="243"/>
      <c r="I187" s="243"/>
      <c r="J187" s="249"/>
      <c r="K187" s="249"/>
    </row>
    <row r="188" spans="1:11" s="231" customFormat="1">
      <c r="A188" s="242"/>
      <c r="H188" s="243"/>
      <c r="I188" s="243"/>
      <c r="J188" s="249"/>
      <c r="K188" s="249"/>
    </row>
    <row r="189" spans="1:11" s="231" customFormat="1">
      <c r="A189" s="242"/>
      <c r="H189" s="243"/>
      <c r="I189" s="243"/>
      <c r="J189" s="249"/>
      <c r="K189" s="249"/>
    </row>
    <row r="190" spans="1:11" s="231" customFormat="1">
      <c r="A190" s="242"/>
      <c r="H190" s="243"/>
      <c r="I190" s="243"/>
      <c r="J190" s="249"/>
      <c r="K190" s="249"/>
    </row>
    <row r="191" spans="1:11" s="231" customFormat="1">
      <c r="A191" s="242"/>
      <c r="H191" s="243"/>
      <c r="I191" s="243"/>
      <c r="J191" s="249"/>
      <c r="K191" s="249"/>
    </row>
  </sheetData>
  <sheetProtection formatCells="0" formatColumns="0" formatRows="0" insertRows="0" deleteRows="0"/>
  <mergeCells count="9">
    <mergeCell ref="B44:E44"/>
    <mergeCell ref="A46:H46"/>
    <mergeCell ref="A7:G7"/>
    <mergeCell ref="A20:G20"/>
    <mergeCell ref="A3:G3"/>
    <mergeCell ref="A4:A5"/>
    <mergeCell ref="B4:B5"/>
    <mergeCell ref="D4:G4"/>
    <mergeCell ref="C4:C5"/>
  </mergeCells>
  <phoneticPr fontId="3" type="noConversion"/>
  <pageMargins left="1.1811023622047243" right="0.39370078740157483" top="0.78740157480314965" bottom="0.78740157480314965" header="0" footer="0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43"/>
  </sheetPr>
  <dimension ref="A1:I113"/>
  <sheetViews>
    <sheetView view="pageBreakPreview" topLeftCell="A22" zoomScale="75" zoomScaleNormal="75" zoomScaleSheetLayoutView="75" workbookViewId="0">
      <selection sqref="A1:I1048576"/>
    </sheetView>
  </sheetViews>
  <sheetFormatPr defaultColWidth="9.1796875" defaultRowHeight="15.5" outlineLevelRow="1"/>
  <cols>
    <col min="1" max="1" width="55.453125" style="7" customWidth="1"/>
    <col min="2" max="2" width="15.54296875" style="7" customWidth="1"/>
    <col min="3" max="3" width="13.26953125" style="7" hidden="1" customWidth="1"/>
    <col min="4" max="4" width="13.453125" style="7" customWidth="1"/>
    <col min="5" max="5" width="12.7265625" style="99" customWidth="1"/>
    <col min="6" max="6" width="11.81640625" style="7" customWidth="1"/>
    <col min="7" max="7" width="13" style="7" customWidth="1"/>
    <col min="8" max="16384" width="9.1796875" style="7"/>
  </cols>
  <sheetData>
    <row r="1" spans="1:8" ht="16.5" customHeight="1" outlineLevel="1">
      <c r="G1" s="38" t="s">
        <v>237</v>
      </c>
    </row>
    <row r="2" spans="1:8" ht="15.75" customHeight="1" outlineLevel="1">
      <c r="G2" s="38" t="s">
        <v>223</v>
      </c>
    </row>
    <row r="3" spans="1:8">
      <c r="A3" s="282" t="s">
        <v>359</v>
      </c>
      <c r="B3" s="282"/>
      <c r="C3" s="282"/>
      <c r="D3" s="282"/>
      <c r="E3" s="282"/>
      <c r="F3" s="282"/>
      <c r="G3" s="282"/>
    </row>
    <row r="4" spans="1:8" ht="16" customHeight="1">
      <c r="A4" s="38" t="s">
        <v>356</v>
      </c>
      <c r="B4" s="38"/>
      <c r="C4" s="38"/>
      <c r="D4" s="38"/>
      <c r="E4" s="100"/>
      <c r="F4" s="38"/>
      <c r="G4" s="38"/>
    </row>
    <row r="5" spans="1:8" ht="15.75" customHeight="1">
      <c r="A5" s="316" t="s">
        <v>283</v>
      </c>
      <c r="B5" s="317" t="s">
        <v>0</v>
      </c>
      <c r="C5" s="276" t="s">
        <v>346</v>
      </c>
      <c r="D5" s="313" t="s">
        <v>344</v>
      </c>
      <c r="E5" s="313"/>
      <c r="F5" s="313"/>
      <c r="G5" s="272"/>
    </row>
    <row r="6" spans="1:8" ht="31.5" customHeight="1">
      <c r="A6" s="316"/>
      <c r="B6" s="317"/>
      <c r="C6" s="315"/>
      <c r="D6" s="23" t="s">
        <v>261</v>
      </c>
      <c r="E6" s="39" t="s">
        <v>244</v>
      </c>
      <c r="F6" s="21" t="s">
        <v>271</v>
      </c>
      <c r="G6" s="80" t="s">
        <v>272</v>
      </c>
    </row>
    <row r="7" spans="1:8" ht="15.75" customHeight="1">
      <c r="A7" s="23">
        <v>1</v>
      </c>
      <c r="B7" s="79">
        <v>2</v>
      </c>
      <c r="C7" s="23">
        <v>3</v>
      </c>
      <c r="D7" s="23">
        <v>4</v>
      </c>
      <c r="E7" s="101">
        <v>5</v>
      </c>
      <c r="F7" s="23">
        <v>6</v>
      </c>
      <c r="G7" s="81">
        <v>7</v>
      </c>
    </row>
    <row r="8" spans="1:8" s="51" customFormat="1" ht="15.75" customHeight="1">
      <c r="A8" s="309" t="s">
        <v>157</v>
      </c>
      <c r="B8" s="310"/>
      <c r="C8" s="310"/>
      <c r="D8" s="310"/>
      <c r="E8" s="310"/>
      <c r="F8" s="310"/>
      <c r="G8" s="310"/>
    </row>
    <row r="9" spans="1:8" ht="31" customHeight="1">
      <c r="A9" s="1" t="s">
        <v>175</v>
      </c>
      <c r="B9" s="42">
        <v>1170</v>
      </c>
      <c r="C9" s="44">
        <f>'1. Фін результат'!C115</f>
        <v>10</v>
      </c>
      <c r="D9" s="44">
        <f>'1. Фін результат'!D115</f>
        <v>1928</v>
      </c>
      <c r="E9" s="102">
        <f>ROUND('1. Фін результат'!E115,0)</f>
        <v>307</v>
      </c>
      <c r="F9" s="44">
        <f>E9-D9</f>
        <v>-1621</v>
      </c>
      <c r="G9" s="82">
        <f>E9/D9*100</f>
        <v>15.92323651452282</v>
      </c>
    </row>
    <row r="10" spans="1:8" ht="15.75" customHeight="1">
      <c r="A10" s="1" t="s">
        <v>176</v>
      </c>
      <c r="B10" s="53"/>
      <c r="C10" s="25"/>
      <c r="D10" s="25"/>
      <c r="E10" s="103"/>
      <c r="F10" s="25"/>
      <c r="G10" s="83"/>
      <c r="H10" s="7" t="s">
        <v>526</v>
      </c>
    </row>
    <row r="11" spans="1:8" ht="15.65" customHeight="1">
      <c r="A11" s="1" t="s">
        <v>179</v>
      </c>
      <c r="B11" s="22">
        <v>3000</v>
      </c>
      <c r="C11" s="25">
        <f>'1. Фін результат'!C141</f>
        <v>869</v>
      </c>
      <c r="D11" s="25">
        <f>'1. Фін результат'!D141</f>
        <v>1004</v>
      </c>
      <c r="E11" s="104">
        <f>'1. Фін результат'!E141</f>
        <v>1214</v>
      </c>
      <c r="F11" s="44">
        <f t="shared" ref="F11:F12" si="0">E11-D11</f>
        <v>210</v>
      </c>
      <c r="G11" s="82">
        <f t="shared" ref="G11" si="1">E11/D11*100</f>
        <v>120.91633466135458</v>
      </c>
      <c r="H11" s="7">
        <v>1012</v>
      </c>
    </row>
    <row r="12" spans="1:8" ht="15.75" customHeight="1">
      <c r="A12" s="1" t="s">
        <v>180</v>
      </c>
      <c r="B12" s="22">
        <v>3010</v>
      </c>
      <c r="C12" s="25">
        <f>C13</f>
        <v>293</v>
      </c>
      <c r="D12" s="25"/>
      <c r="E12" s="104">
        <f>E13</f>
        <v>571</v>
      </c>
      <c r="F12" s="84">
        <f t="shared" si="0"/>
        <v>571</v>
      </c>
      <c r="G12" s="85"/>
    </row>
    <row r="13" spans="1:8" ht="15.75" customHeight="1">
      <c r="A13" s="1" t="s">
        <v>485</v>
      </c>
      <c r="B13" s="22" t="s">
        <v>484</v>
      </c>
      <c r="C13" s="25">
        <v>293</v>
      </c>
      <c r="D13" s="25"/>
      <c r="E13" s="153">
        <v>571</v>
      </c>
      <c r="F13" s="86">
        <v>571</v>
      </c>
      <c r="G13" s="87"/>
      <c r="H13" s="7" t="s">
        <v>527</v>
      </c>
    </row>
    <row r="14" spans="1:8" ht="31.5" customHeight="1">
      <c r="A14" s="1" t="s">
        <v>181</v>
      </c>
      <c r="B14" s="22">
        <v>3020</v>
      </c>
      <c r="C14" s="25"/>
      <c r="D14" s="104">
        <v>0</v>
      </c>
      <c r="E14" s="104">
        <v>0</v>
      </c>
      <c r="F14" s="86"/>
      <c r="G14" s="87"/>
    </row>
    <row r="15" spans="1:8" ht="31.5" customHeight="1">
      <c r="A15" s="1" t="s">
        <v>182</v>
      </c>
      <c r="B15" s="22">
        <v>3030</v>
      </c>
      <c r="C15" s="25">
        <f>SUM(C16:C20)</f>
        <v>-171</v>
      </c>
      <c r="D15" s="25">
        <f>D16+D17+D19+D20</f>
        <v>-503</v>
      </c>
      <c r="E15" s="104">
        <f>E16+E17+E19+E20</f>
        <v>-134</v>
      </c>
      <c r="F15" s="84">
        <f>E15-D15</f>
        <v>369</v>
      </c>
      <c r="G15" s="85">
        <f>E15/D15*100</f>
        <v>26.640159045725646</v>
      </c>
    </row>
    <row r="16" spans="1:8" ht="33.75" customHeight="1">
      <c r="A16" s="1" t="s">
        <v>495</v>
      </c>
      <c r="B16" s="22" t="s">
        <v>439</v>
      </c>
      <c r="C16" s="40">
        <v>-93</v>
      </c>
      <c r="D16" s="40"/>
      <c r="E16" s="41">
        <v>0</v>
      </c>
      <c r="F16" s="88"/>
      <c r="G16" s="89"/>
      <c r="H16" s="7">
        <v>-1000</v>
      </c>
    </row>
    <row r="17" spans="1:8" ht="27.75" customHeight="1">
      <c r="A17" s="1" t="s">
        <v>496</v>
      </c>
      <c r="B17" s="22" t="s">
        <v>440</v>
      </c>
      <c r="C17" s="40">
        <v>-45</v>
      </c>
      <c r="D17" s="40"/>
      <c r="E17" s="41">
        <v>-134</v>
      </c>
      <c r="F17" s="84"/>
      <c r="G17" s="85"/>
      <c r="H17" s="7">
        <v>-1005</v>
      </c>
    </row>
    <row r="18" spans="1:8" ht="31.5" customHeight="1">
      <c r="A18" s="1" t="s">
        <v>494</v>
      </c>
      <c r="B18" s="22" t="s">
        <v>441</v>
      </c>
      <c r="C18" s="40">
        <v>-33</v>
      </c>
      <c r="D18" s="40"/>
      <c r="E18" s="41"/>
      <c r="F18" s="88"/>
      <c r="G18" s="89"/>
    </row>
    <row r="19" spans="1:8" ht="31.5" customHeight="1">
      <c r="A19" s="1" t="s">
        <v>494</v>
      </c>
      <c r="B19" s="22" t="s">
        <v>518</v>
      </c>
      <c r="C19" s="40"/>
      <c r="D19" s="40"/>
      <c r="E19" s="41"/>
      <c r="F19" s="88"/>
      <c r="G19" s="89"/>
    </row>
    <row r="20" spans="1:8" ht="15.65" customHeight="1">
      <c r="A20" s="1" t="s">
        <v>465</v>
      </c>
      <c r="B20" s="22" t="s">
        <v>493</v>
      </c>
      <c r="C20" s="40"/>
      <c r="D20" s="40">
        <v>-503</v>
      </c>
      <c r="E20" s="41"/>
      <c r="F20" s="88"/>
      <c r="G20" s="89"/>
    </row>
    <row r="21" spans="1:8" ht="31.5" customHeight="1">
      <c r="A21" s="48" t="s">
        <v>252</v>
      </c>
      <c r="B21" s="49">
        <v>3040</v>
      </c>
      <c r="C21" s="50">
        <f>C9+C11+C12+C14+C15</f>
        <v>1001</v>
      </c>
      <c r="D21" s="50">
        <f>D9+D11+D12+D14+D15</f>
        <v>2429</v>
      </c>
      <c r="E21" s="108">
        <f>E9+E11+E12+E14+E15</f>
        <v>1958</v>
      </c>
      <c r="F21" s="90">
        <f>E21-D21</f>
        <v>-471</v>
      </c>
      <c r="G21" s="91">
        <f>E21/D21*100</f>
        <v>80.609304240428159</v>
      </c>
    </row>
    <row r="22" spans="1:8" ht="31">
      <c r="A22" s="1" t="s">
        <v>183</v>
      </c>
      <c r="B22" s="22">
        <v>3050</v>
      </c>
      <c r="C22" s="25">
        <f>C23</f>
        <v>-1432</v>
      </c>
      <c r="D22" s="25">
        <v>0</v>
      </c>
      <c r="E22" s="104">
        <f>E23</f>
        <v>-4263</v>
      </c>
      <c r="F22" s="84">
        <f t="shared" ref="F22:F24" si="2">E22-D22</f>
        <v>-4263</v>
      </c>
      <c r="G22" s="85" t="e">
        <f t="shared" ref="G22:G24" si="3">E22/D22*100</f>
        <v>#DIV/0!</v>
      </c>
      <c r="H22" s="7" t="s">
        <v>528</v>
      </c>
    </row>
    <row r="23" spans="1:8" ht="47.25" customHeight="1">
      <c r="A23" s="1" t="s">
        <v>442</v>
      </c>
      <c r="B23" s="22" t="s">
        <v>443</v>
      </c>
      <c r="C23" s="40">
        <v>-1432</v>
      </c>
      <c r="D23" s="40">
        <v>0</v>
      </c>
      <c r="E23" s="41">
        <f>-(8219-3956)</f>
        <v>-4263</v>
      </c>
      <c r="F23" s="84">
        <f t="shared" si="2"/>
        <v>-4263</v>
      </c>
      <c r="G23" s="85" t="e">
        <f t="shared" si="3"/>
        <v>#DIV/0!</v>
      </c>
    </row>
    <row r="24" spans="1:8" ht="31.5" customHeight="1">
      <c r="A24" s="1" t="s">
        <v>184</v>
      </c>
      <c r="B24" s="22">
        <v>3060</v>
      </c>
      <c r="C24" s="25">
        <f>C25</f>
        <v>451</v>
      </c>
      <c r="D24" s="25">
        <v>0</v>
      </c>
      <c r="E24" s="104">
        <f>E25</f>
        <v>1765</v>
      </c>
      <c r="F24" s="84">
        <f t="shared" si="2"/>
        <v>1765</v>
      </c>
      <c r="G24" s="85" t="e">
        <f t="shared" si="3"/>
        <v>#DIV/0!</v>
      </c>
    </row>
    <row r="25" spans="1:8" ht="46.5">
      <c r="A25" s="1" t="s">
        <v>444</v>
      </c>
      <c r="B25" s="22" t="s">
        <v>445</v>
      </c>
      <c r="C25" s="40">
        <v>451</v>
      </c>
      <c r="D25" s="40">
        <v>0</v>
      </c>
      <c r="E25" s="41">
        <f>2336-571</f>
        <v>1765</v>
      </c>
      <c r="F25" s="88"/>
      <c r="G25" s="89"/>
      <c r="H25" s="7" t="s">
        <v>529</v>
      </c>
    </row>
    <row r="26" spans="1:8" ht="15.65" customHeight="1">
      <c r="A26" s="48" t="s">
        <v>177</v>
      </c>
      <c r="B26" s="49">
        <v>3070</v>
      </c>
      <c r="C26" s="50">
        <f>C21+C22+C24</f>
        <v>20</v>
      </c>
      <c r="D26" s="50">
        <f>D21+D22+D24</f>
        <v>2429</v>
      </c>
      <c r="E26" s="108">
        <f>E21+E22+E24</f>
        <v>-540</v>
      </c>
      <c r="F26" s="90">
        <f>E26-D26</f>
        <v>-2969</v>
      </c>
      <c r="G26" s="85">
        <f>E26/D26*100</f>
        <v>-22.231370934540966</v>
      </c>
    </row>
    <row r="27" spans="1:8" ht="15.65" customHeight="1">
      <c r="A27" s="1" t="s">
        <v>178</v>
      </c>
      <c r="B27" s="22">
        <v>3080</v>
      </c>
      <c r="C27" s="25">
        <f>'1. Фін результат'!C116</f>
        <v>0</v>
      </c>
      <c r="D27" s="25">
        <f>'1. Фін результат'!D116</f>
        <v>347</v>
      </c>
      <c r="E27" s="104">
        <f>'1. Фін результат'!E116</f>
        <v>0</v>
      </c>
      <c r="F27" s="84">
        <f t="shared" ref="F27:F28" si="4">E27-D27</f>
        <v>-347</v>
      </c>
      <c r="G27" s="85"/>
    </row>
    <row r="28" spans="1:8" ht="15.65" customHeight="1">
      <c r="A28" s="29" t="s">
        <v>156</v>
      </c>
      <c r="B28" s="49">
        <v>3090</v>
      </c>
      <c r="C28" s="50">
        <f>C26-C27</f>
        <v>20</v>
      </c>
      <c r="D28" s="50">
        <f>D26-D27</f>
        <v>2082</v>
      </c>
      <c r="E28" s="108">
        <f>E26-E27</f>
        <v>-540</v>
      </c>
      <c r="F28" s="90">
        <f t="shared" si="4"/>
        <v>-2622</v>
      </c>
      <c r="G28" s="91">
        <f t="shared" ref="G28" si="5">E28/D28*100</f>
        <v>-25.936599423631122</v>
      </c>
    </row>
    <row r="29" spans="1:8" ht="15.75" customHeight="1">
      <c r="A29" s="309" t="s">
        <v>158</v>
      </c>
      <c r="B29" s="310"/>
      <c r="C29" s="310"/>
      <c r="D29" s="310"/>
      <c r="E29" s="310"/>
      <c r="F29" s="310"/>
      <c r="G29" s="310"/>
    </row>
    <row r="30" spans="1:8" ht="15.75" customHeight="1">
      <c r="A30" s="48" t="s">
        <v>284</v>
      </c>
      <c r="B30" s="42"/>
      <c r="C30" s="44"/>
      <c r="D30" s="44"/>
      <c r="E30" s="102"/>
      <c r="F30" s="84"/>
      <c r="G30" s="85"/>
    </row>
    <row r="31" spans="1:8" ht="15.75" customHeight="1">
      <c r="A31" s="2" t="s">
        <v>32</v>
      </c>
      <c r="B31" s="42">
        <v>3200</v>
      </c>
      <c r="C31" s="44"/>
      <c r="D31" s="44"/>
      <c r="E31" s="102"/>
      <c r="F31" s="84"/>
      <c r="G31" s="85"/>
    </row>
    <row r="32" spans="1:8" ht="15.65" customHeight="1">
      <c r="A32" s="2" t="s">
        <v>33</v>
      </c>
      <c r="B32" s="42">
        <v>3210</v>
      </c>
      <c r="C32" s="44"/>
      <c r="D32" s="44"/>
      <c r="E32" s="102"/>
      <c r="F32" s="84"/>
      <c r="G32" s="85"/>
    </row>
    <row r="33" spans="1:8" ht="15.75" customHeight="1">
      <c r="A33" s="2" t="s">
        <v>54</v>
      </c>
      <c r="B33" s="42">
        <v>3220</v>
      </c>
      <c r="C33" s="44"/>
      <c r="D33" s="44"/>
      <c r="E33" s="102"/>
      <c r="F33" s="84"/>
      <c r="G33" s="85"/>
    </row>
    <row r="34" spans="1:8" ht="15.65" customHeight="1">
      <c r="A34" s="1" t="s">
        <v>161</v>
      </c>
      <c r="B34" s="42"/>
      <c r="C34" s="44"/>
      <c r="D34" s="44"/>
      <c r="E34" s="102"/>
      <c r="F34" s="84"/>
      <c r="G34" s="85"/>
    </row>
    <row r="35" spans="1:8">
      <c r="A35" s="2" t="s">
        <v>162</v>
      </c>
      <c r="B35" s="42">
        <v>3230</v>
      </c>
      <c r="C35" s="44"/>
      <c r="D35" s="44"/>
      <c r="E35" s="102"/>
      <c r="F35" s="84"/>
      <c r="G35" s="85"/>
    </row>
    <row r="36" spans="1:8" ht="15.75" customHeight="1">
      <c r="A36" s="2" t="s">
        <v>163</v>
      </c>
      <c r="B36" s="42">
        <v>3240</v>
      </c>
      <c r="C36" s="44"/>
      <c r="D36" s="44"/>
      <c r="E36" s="102"/>
      <c r="F36" s="84"/>
      <c r="G36" s="85"/>
    </row>
    <row r="37" spans="1:8" ht="15.75" customHeight="1">
      <c r="A37" s="1" t="s">
        <v>164</v>
      </c>
      <c r="B37" s="42">
        <v>3250</v>
      </c>
      <c r="C37" s="44"/>
      <c r="D37" s="44"/>
      <c r="E37" s="102"/>
      <c r="F37" s="84"/>
      <c r="G37" s="85"/>
    </row>
    <row r="38" spans="1:8" ht="15.75" customHeight="1">
      <c r="A38" s="2" t="s">
        <v>118</v>
      </c>
      <c r="B38" s="42">
        <v>3260</v>
      </c>
      <c r="C38" s="44"/>
      <c r="D38" s="44"/>
      <c r="E38" s="102"/>
      <c r="F38" s="84"/>
      <c r="G38" s="85"/>
    </row>
    <row r="39" spans="1:8" ht="15.65" customHeight="1">
      <c r="A39" s="48" t="s">
        <v>285</v>
      </c>
      <c r="B39" s="42"/>
      <c r="C39" s="44"/>
      <c r="D39" s="44"/>
      <c r="E39" s="102"/>
      <c r="F39" s="84"/>
      <c r="G39" s="85"/>
    </row>
    <row r="40" spans="1:8" ht="31" customHeight="1">
      <c r="A40" s="2" t="s">
        <v>119</v>
      </c>
      <c r="B40" s="42">
        <v>3270</v>
      </c>
      <c r="C40" s="44">
        <f>C41</f>
        <v>0</v>
      </c>
      <c r="D40" s="44">
        <f>D41</f>
        <v>1000</v>
      </c>
      <c r="E40" s="102">
        <f>E41+E42</f>
        <v>987</v>
      </c>
      <c r="F40" s="84">
        <f t="shared" ref="F40" si="6">E40-D40</f>
        <v>-13</v>
      </c>
      <c r="G40" s="85">
        <f t="shared" ref="G40" si="7">E40/D40*100</f>
        <v>98.7</v>
      </c>
    </row>
    <row r="41" spans="1:8" ht="47.25" customHeight="1">
      <c r="A41" s="2" t="s">
        <v>460</v>
      </c>
      <c r="B41" s="42" t="s">
        <v>461</v>
      </c>
      <c r="C41" s="44"/>
      <c r="D41" s="44">
        <v>1000</v>
      </c>
      <c r="E41" s="102"/>
      <c r="F41" s="84">
        <f t="shared" ref="F41" si="8">E41-D41</f>
        <v>-1000</v>
      </c>
      <c r="G41" s="85">
        <f t="shared" ref="G41" si="9">E41/D41*100</f>
        <v>0</v>
      </c>
    </row>
    <row r="42" spans="1:8" ht="33.75" customHeight="1">
      <c r="A42" s="2" t="s">
        <v>497</v>
      </c>
      <c r="B42" s="42" t="s">
        <v>500</v>
      </c>
      <c r="C42" s="44"/>
      <c r="D42" s="44"/>
      <c r="E42" s="102">
        <v>987</v>
      </c>
      <c r="F42" s="84"/>
      <c r="G42" s="85"/>
      <c r="H42" s="7">
        <v>1011</v>
      </c>
    </row>
    <row r="43" spans="1:8">
      <c r="A43" s="2" t="s">
        <v>120</v>
      </c>
      <c r="B43" s="42">
        <v>3280</v>
      </c>
      <c r="C43" s="44"/>
      <c r="D43" s="44">
        <f>D44</f>
        <v>0</v>
      </c>
      <c r="E43" s="102"/>
      <c r="F43" s="84"/>
      <c r="G43" s="85"/>
    </row>
    <row r="44" spans="1:8" ht="31" customHeight="1">
      <c r="A44" s="2" t="s">
        <v>490</v>
      </c>
      <c r="B44" s="42" t="s">
        <v>489</v>
      </c>
      <c r="C44" s="44"/>
      <c r="D44" s="44"/>
      <c r="E44" s="102"/>
      <c r="F44" s="84"/>
      <c r="G44" s="85"/>
    </row>
    <row r="45" spans="1:8" ht="31">
      <c r="A45" s="2" t="s">
        <v>121</v>
      </c>
      <c r="B45" s="42">
        <v>3290</v>
      </c>
      <c r="C45" s="44"/>
      <c r="D45" s="44"/>
      <c r="E45" s="102"/>
      <c r="F45" s="84"/>
      <c r="G45" s="85"/>
    </row>
    <row r="46" spans="1:8">
      <c r="A46" s="2" t="s">
        <v>55</v>
      </c>
      <c r="B46" s="42">
        <v>3300</v>
      </c>
      <c r="C46" s="44"/>
      <c r="D46" s="44"/>
      <c r="E46" s="102"/>
      <c r="F46" s="84"/>
      <c r="G46" s="85"/>
    </row>
    <row r="47" spans="1:8">
      <c r="A47" s="2" t="s">
        <v>113</v>
      </c>
      <c r="B47" s="42">
        <v>3310</v>
      </c>
      <c r="C47" s="44">
        <f>C48</f>
        <v>321</v>
      </c>
      <c r="D47" s="44"/>
      <c r="E47" s="102">
        <f>E48</f>
        <v>0</v>
      </c>
      <c r="F47" s="84"/>
      <c r="G47" s="85"/>
    </row>
    <row r="48" spans="1:8" ht="31.5" customHeight="1">
      <c r="A48" s="2" t="s">
        <v>446</v>
      </c>
      <c r="B48" s="22" t="s">
        <v>447</v>
      </c>
      <c r="C48" s="40">
        <v>321</v>
      </c>
      <c r="D48" s="40"/>
      <c r="E48" s="43"/>
      <c r="F48" s="92"/>
      <c r="G48" s="93"/>
    </row>
    <row r="49" spans="1:8">
      <c r="A49" s="1" t="s">
        <v>159</v>
      </c>
      <c r="B49" s="42">
        <v>3320</v>
      </c>
      <c r="C49" s="44">
        <f>C31+C32+C33+C34+C37+C38-C40-C43-C45-C46-C47</f>
        <v>-321</v>
      </c>
      <c r="D49" s="44">
        <f>D31+D32+D33+D34+D37+D38-D40-D43-D45-D46-D47</f>
        <v>-1000</v>
      </c>
      <c r="E49" s="102">
        <f>E31+E32+E33+E34+E37+E38-E40-E43-E45-E46-E47+E35</f>
        <v>-987</v>
      </c>
      <c r="F49" s="84">
        <f t="shared" ref="F49" si="10">E49-D49</f>
        <v>13</v>
      </c>
      <c r="G49" s="85">
        <f t="shared" ref="G49" si="11">E49/D49*100</f>
        <v>98.7</v>
      </c>
    </row>
    <row r="50" spans="1:8" ht="15.75" customHeight="1">
      <c r="A50" s="309" t="s">
        <v>160</v>
      </c>
      <c r="B50" s="310"/>
      <c r="C50" s="310"/>
      <c r="D50" s="310"/>
      <c r="E50" s="310"/>
      <c r="F50" s="310"/>
      <c r="G50" s="310"/>
    </row>
    <row r="51" spans="1:8">
      <c r="A51" s="48" t="s">
        <v>284</v>
      </c>
      <c r="B51" s="42"/>
      <c r="C51" s="44"/>
      <c r="D51" s="44"/>
      <c r="E51" s="105"/>
      <c r="F51" s="84"/>
      <c r="G51" s="85"/>
    </row>
    <row r="52" spans="1:8" ht="15.65" customHeight="1">
      <c r="A52" s="1" t="s">
        <v>165</v>
      </c>
      <c r="B52" s="42">
        <v>3400</v>
      </c>
      <c r="C52" s="44"/>
      <c r="D52" s="44"/>
      <c r="E52" s="105"/>
      <c r="F52" s="84"/>
      <c r="G52" s="85"/>
    </row>
    <row r="53" spans="1:8" ht="31">
      <c r="A53" s="2" t="s">
        <v>92</v>
      </c>
      <c r="B53" s="53"/>
      <c r="C53" s="54"/>
      <c r="D53" s="54"/>
      <c r="E53" s="106"/>
      <c r="F53" s="94"/>
      <c r="G53" s="95"/>
    </row>
    <row r="54" spans="1:8">
      <c r="A54" s="2" t="s">
        <v>91</v>
      </c>
      <c r="B54" s="42">
        <v>3410</v>
      </c>
      <c r="C54" s="44"/>
      <c r="D54" s="44"/>
      <c r="E54" s="105"/>
      <c r="F54" s="84"/>
      <c r="G54" s="85"/>
    </row>
    <row r="55" spans="1:8">
      <c r="A55" s="2" t="s">
        <v>96</v>
      </c>
      <c r="B55" s="22">
        <v>3420</v>
      </c>
      <c r="C55" s="25"/>
      <c r="D55" s="25"/>
      <c r="E55" s="103"/>
      <c r="F55" s="86"/>
      <c r="G55" s="87"/>
    </row>
    <row r="56" spans="1:8" ht="15.75" customHeight="1">
      <c r="A56" s="2" t="s">
        <v>122</v>
      </c>
      <c r="B56" s="42">
        <v>3430</v>
      </c>
      <c r="C56" s="44"/>
      <c r="D56" s="44"/>
      <c r="E56" s="105"/>
      <c r="F56" s="84"/>
      <c r="G56" s="85"/>
    </row>
    <row r="57" spans="1:8" ht="31">
      <c r="A57" s="2" t="s">
        <v>94</v>
      </c>
      <c r="B57" s="42"/>
      <c r="C57" s="44"/>
      <c r="D57" s="44"/>
      <c r="E57" s="105"/>
      <c r="F57" s="84"/>
      <c r="G57" s="85"/>
    </row>
    <row r="58" spans="1:8" ht="15.65" customHeight="1">
      <c r="A58" s="2" t="s">
        <v>91</v>
      </c>
      <c r="B58" s="22">
        <v>3440</v>
      </c>
      <c r="C58" s="25"/>
      <c r="D58" s="25"/>
      <c r="E58" s="103"/>
      <c r="F58" s="86"/>
      <c r="G58" s="87"/>
    </row>
    <row r="59" spans="1:8" ht="15.75" customHeight="1">
      <c r="A59" s="2" t="s">
        <v>96</v>
      </c>
      <c r="B59" s="22">
        <v>3450</v>
      </c>
      <c r="C59" s="25"/>
      <c r="D59" s="25"/>
      <c r="E59" s="103"/>
      <c r="F59" s="86"/>
      <c r="G59" s="87"/>
    </row>
    <row r="60" spans="1:8">
      <c r="A60" s="2" t="s">
        <v>122</v>
      </c>
      <c r="B60" s="22">
        <v>3460</v>
      </c>
      <c r="C60" s="25"/>
      <c r="D60" s="25"/>
      <c r="E60" s="103"/>
      <c r="F60" s="86"/>
      <c r="G60" s="87"/>
    </row>
    <row r="61" spans="1:8" ht="15.65" customHeight="1">
      <c r="A61" s="2" t="s">
        <v>117</v>
      </c>
      <c r="B61" s="22">
        <v>3470</v>
      </c>
      <c r="C61" s="25"/>
      <c r="D61" s="25">
        <f>D62</f>
        <v>0</v>
      </c>
      <c r="E61" s="103">
        <f>E62</f>
        <v>5779</v>
      </c>
      <c r="F61" s="86"/>
      <c r="G61" s="87"/>
    </row>
    <row r="62" spans="1:8" ht="15.75" customHeight="1">
      <c r="A62" s="2" t="s">
        <v>540</v>
      </c>
      <c r="B62" s="22" t="s">
        <v>459</v>
      </c>
      <c r="C62" s="25"/>
      <c r="D62" s="25"/>
      <c r="E62" s="104">
        <v>5779</v>
      </c>
      <c r="F62" s="86"/>
      <c r="G62" s="87"/>
      <c r="H62" s="7">
        <v>1525</v>
      </c>
    </row>
    <row r="63" spans="1:8" ht="15.75" customHeight="1">
      <c r="A63" s="2" t="s">
        <v>118</v>
      </c>
      <c r="B63" s="22">
        <v>3480</v>
      </c>
      <c r="C63" s="25">
        <f>C64+C65+C66</f>
        <v>1658</v>
      </c>
      <c r="D63" s="25">
        <f>D64</f>
        <v>1000</v>
      </c>
      <c r="E63" s="104">
        <f>E64+E66+E65</f>
        <v>630</v>
      </c>
      <c r="F63" s="84">
        <f t="shared" ref="F63" si="12">E63-D63</f>
        <v>-370</v>
      </c>
      <c r="G63" s="85">
        <f t="shared" ref="G63" si="13">E63/D63*100</f>
        <v>63</v>
      </c>
    </row>
    <row r="64" spans="1:8" ht="31" customHeight="1">
      <c r="A64" s="2" t="s">
        <v>501</v>
      </c>
      <c r="B64" s="22" t="s">
        <v>448</v>
      </c>
      <c r="C64" s="40">
        <v>2000</v>
      </c>
      <c r="D64" s="40">
        <v>1000</v>
      </c>
      <c r="E64" s="41">
        <f>6100-5100</f>
        <v>1000</v>
      </c>
      <c r="F64" s="88"/>
      <c r="G64" s="89"/>
      <c r="H64" s="7" t="s">
        <v>530</v>
      </c>
    </row>
    <row r="65" spans="1:8" ht="31.5" customHeight="1">
      <c r="A65" s="2" t="s">
        <v>483</v>
      </c>
      <c r="B65" s="22" t="s">
        <v>491</v>
      </c>
      <c r="C65" s="40">
        <v>93</v>
      </c>
      <c r="D65" s="40"/>
      <c r="E65" s="41"/>
      <c r="F65" s="88"/>
      <c r="G65" s="89"/>
    </row>
    <row r="66" spans="1:8" ht="31.5" customHeight="1">
      <c r="A66" s="2" t="s">
        <v>492</v>
      </c>
      <c r="B66" s="22" t="s">
        <v>491</v>
      </c>
      <c r="C66" s="40">
        <v>-435</v>
      </c>
      <c r="D66" s="40"/>
      <c r="E66" s="41">
        <v>-370</v>
      </c>
      <c r="F66" s="88"/>
      <c r="G66" s="89"/>
      <c r="H66" s="7">
        <v>1410</v>
      </c>
    </row>
    <row r="67" spans="1:8" ht="15.75" customHeight="1">
      <c r="A67" s="48" t="s">
        <v>285</v>
      </c>
      <c r="B67" s="42"/>
      <c r="C67" s="44"/>
      <c r="D67" s="44"/>
      <c r="E67" s="105"/>
      <c r="F67" s="84"/>
      <c r="G67" s="85"/>
    </row>
    <row r="68" spans="1:8" ht="31" customHeight="1">
      <c r="A68" s="2" t="s">
        <v>475</v>
      </c>
      <c r="B68" s="42">
        <v>3490</v>
      </c>
      <c r="C68" s="44">
        <v>0</v>
      </c>
      <c r="D68" s="44">
        <f>'2. Розрахунки з бюджетом'!D22</f>
        <v>237</v>
      </c>
      <c r="E68" s="102"/>
      <c r="F68" s="84">
        <f t="shared" ref="F68" si="14">E68-D68</f>
        <v>-237</v>
      </c>
      <c r="G68" s="85">
        <f t="shared" ref="G68" si="15">E68/D68*100</f>
        <v>0</v>
      </c>
    </row>
    <row r="69" spans="1:8" ht="77.5">
      <c r="A69" s="2" t="s">
        <v>476</v>
      </c>
      <c r="B69" s="42">
        <v>3500</v>
      </c>
      <c r="C69" s="44"/>
      <c r="D69" s="44">
        <f>'2. Розрахунки з бюджетом'!D23</f>
        <v>806</v>
      </c>
      <c r="E69" s="102"/>
      <c r="F69" s="84"/>
      <c r="G69" s="85"/>
    </row>
    <row r="70" spans="1:8" ht="31.5" customHeight="1">
      <c r="A70" s="2" t="s">
        <v>95</v>
      </c>
      <c r="B70" s="42"/>
      <c r="C70" s="44"/>
      <c r="D70" s="44"/>
      <c r="E70" s="105"/>
      <c r="F70" s="84"/>
      <c r="G70" s="85"/>
    </row>
    <row r="71" spans="1:8">
      <c r="A71" s="2" t="s">
        <v>91</v>
      </c>
      <c r="B71" s="22">
        <v>3510</v>
      </c>
      <c r="C71" s="25"/>
      <c r="D71" s="25"/>
      <c r="E71" s="103"/>
      <c r="F71" s="86"/>
      <c r="G71" s="87"/>
    </row>
    <row r="72" spans="1:8" ht="15.65" customHeight="1">
      <c r="A72" s="2" t="s">
        <v>96</v>
      </c>
      <c r="B72" s="22">
        <v>3520</v>
      </c>
      <c r="C72" s="25"/>
      <c r="D72" s="25"/>
      <c r="E72" s="103"/>
      <c r="F72" s="86"/>
      <c r="G72" s="87"/>
    </row>
    <row r="73" spans="1:8">
      <c r="A73" s="2" t="s">
        <v>122</v>
      </c>
      <c r="B73" s="22">
        <v>3530</v>
      </c>
      <c r="C73" s="25"/>
      <c r="D73" s="25"/>
      <c r="E73" s="103"/>
      <c r="F73" s="86"/>
      <c r="G73" s="87"/>
    </row>
    <row r="74" spans="1:8" ht="31">
      <c r="A74" s="2" t="s">
        <v>93</v>
      </c>
      <c r="B74" s="42"/>
      <c r="C74" s="44"/>
      <c r="D74" s="44"/>
      <c r="E74" s="105"/>
      <c r="F74" s="84"/>
      <c r="G74" s="85"/>
    </row>
    <row r="75" spans="1:8" ht="15.75" customHeight="1">
      <c r="A75" s="2" t="s">
        <v>91</v>
      </c>
      <c r="B75" s="22">
        <v>3540</v>
      </c>
      <c r="C75" s="25"/>
      <c r="D75" s="25"/>
      <c r="E75" s="103"/>
      <c r="F75" s="86"/>
      <c r="G75" s="87"/>
    </row>
    <row r="76" spans="1:8">
      <c r="A76" s="2" t="s">
        <v>96</v>
      </c>
      <c r="B76" s="22">
        <v>3550</v>
      </c>
      <c r="C76" s="25"/>
      <c r="D76" s="25"/>
      <c r="E76" s="103"/>
      <c r="F76" s="86"/>
      <c r="G76" s="87"/>
    </row>
    <row r="77" spans="1:8" ht="15.75" customHeight="1">
      <c r="A77" s="2" t="s">
        <v>122</v>
      </c>
      <c r="B77" s="22">
        <v>3560</v>
      </c>
      <c r="C77" s="25"/>
      <c r="D77" s="25"/>
      <c r="E77" s="103"/>
      <c r="F77" s="86"/>
      <c r="G77" s="87"/>
    </row>
    <row r="78" spans="1:8" s="32" customFormat="1" ht="15.75" customHeight="1">
      <c r="A78" s="2" t="s">
        <v>113</v>
      </c>
      <c r="B78" s="22">
        <v>3570</v>
      </c>
      <c r="C78" s="25"/>
      <c r="D78" s="25"/>
      <c r="E78" s="103"/>
      <c r="F78" s="84">
        <f t="shared" ref="F78" si="16">E78-D78</f>
        <v>0</v>
      </c>
      <c r="G78" s="85" t="e">
        <f t="shared" ref="G78" si="17">E78/D78*100</f>
        <v>#DIV/0!</v>
      </c>
    </row>
    <row r="79" spans="1:8" s="32" customFormat="1" ht="15.75" customHeight="1">
      <c r="A79" s="48"/>
      <c r="B79" s="22"/>
      <c r="C79" s="25"/>
      <c r="D79" s="25"/>
      <c r="E79" s="104"/>
      <c r="F79" s="84"/>
      <c r="G79" s="85"/>
    </row>
    <row r="80" spans="1:8" s="32" customFormat="1" ht="15.65" customHeight="1">
      <c r="A80" s="48" t="s">
        <v>486</v>
      </c>
      <c r="B80" s="22">
        <v>3580</v>
      </c>
      <c r="C80" s="25">
        <v>1658</v>
      </c>
      <c r="D80" s="25">
        <f>$D$52+$D$54+$D$55+$D$56+$D$58+$D$59+$D$60+$D$61+$D$63-$D$68-$D$69-$D$71-$D$72-$D$73-$D$75-$D$76-$D$77-$D$78</f>
        <v>-43</v>
      </c>
      <c r="E80" s="104">
        <f>$E$52+$E$54+$E$55+$E$56+$E$58+$E$59+$E$60+$E$61+$E$63-$E$68-$E$69-$E$71-$E$72-$E$73-$E$75-$E$76-$E$77-$E$78</f>
        <v>6409</v>
      </c>
      <c r="F80" s="84"/>
      <c r="G80" s="85"/>
    </row>
    <row r="81" spans="1:9" s="32" customFormat="1" ht="15.75" customHeight="1">
      <c r="A81" s="2" t="s">
        <v>487</v>
      </c>
      <c r="B81" s="22"/>
      <c r="C81" s="25"/>
      <c r="D81" s="25"/>
      <c r="E81" s="103"/>
      <c r="F81" s="84"/>
      <c r="G81" s="85"/>
    </row>
    <row r="82" spans="1:9" s="32" customFormat="1" ht="15.75" customHeight="1">
      <c r="A82" s="29" t="s">
        <v>34</v>
      </c>
      <c r="B82" s="22">
        <v>3600</v>
      </c>
      <c r="C82" s="25">
        <v>790</v>
      </c>
      <c r="D82" s="25">
        <v>737</v>
      </c>
      <c r="E82" s="103">
        <v>5915</v>
      </c>
      <c r="F82" s="84">
        <f t="shared" ref="F82" si="18">E82-D82</f>
        <v>5178</v>
      </c>
      <c r="G82" s="85">
        <f t="shared" ref="G82" si="19">E82/D82*100</f>
        <v>802.57801899592937</v>
      </c>
      <c r="H82" s="32">
        <v>5915</v>
      </c>
    </row>
    <row r="83" spans="1:9" s="32" customFormat="1" ht="15.75" customHeight="1">
      <c r="A83" s="31" t="s">
        <v>286</v>
      </c>
      <c r="B83" s="22">
        <v>3610</v>
      </c>
      <c r="C83" s="25"/>
      <c r="D83" s="25"/>
      <c r="E83" s="103"/>
      <c r="F83" s="86"/>
      <c r="G83" s="87"/>
    </row>
    <row r="84" spans="1:9" s="32" customFormat="1" ht="15.75" customHeight="1">
      <c r="A84" s="29" t="s">
        <v>56</v>
      </c>
      <c r="B84" s="22">
        <v>3620</v>
      </c>
      <c r="C84" s="25">
        <v>693</v>
      </c>
      <c r="D84" s="25">
        <f>D82+D28+D49+D80</f>
        <v>1776</v>
      </c>
      <c r="E84" s="104">
        <v>9871</v>
      </c>
      <c r="F84" s="84">
        <f t="shared" ref="F84:F85" si="20">E84-D84</f>
        <v>8095</v>
      </c>
      <c r="G84" s="85">
        <f t="shared" ref="G84:G85" si="21">E84/D84*100</f>
        <v>555.79954954954951</v>
      </c>
      <c r="H84" s="32">
        <v>9871</v>
      </c>
      <c r="I84" s="97">
        <f>E84-H84</f>
        <v>0</v>
      </c>
    </row>
    <row r="85" spans="1:9" ht="15.75" customHeight="1">
      <c r="A85" s="29" t="s">
        <v>35</v>
      </c>
      <c r="B85" s="22">
        <v>3630</v>
      </c>
      <c r="C85" s="25">
        <f>C84-C82</f>
        <v>-97</v>
      </c>
      <c r="D85" s="25">
        <f>D84-D82</f>
        <v>1039</v>
      </c>
      <c r="E85" s="104">
        <f>E84-E82</f>
        <v>3956</v>
      </c>
      <c r="F85" s="84">
        <f t="shared" si="20"/>
        <v>2917</v>
      </c>
      <c r="G85" s="85">
        <f t="shared" si="21"/>
        <v>380.75072184793066</v>
      </c>
      <c r="H85" s="104">
        <f>H84-H82</f>
        <v>3956</v>
      </c>
      <c r="I85" s="77"/>
    </row>
    <row r="86" spans="1:9" ht="15.75" customHeight="1">
      <c r="A86" s="3"/>
      <c r="B86" s="45"/>
      <c r="C86" s="35"/>
      <c r="D86" s="35"/>
      <c r="E86" s="107"/>
      <c r="F86" s="45"/>
      <c r="G86" s="45"/>
    </row>
    <row r="87" spans="1:9" ht="15.75" customHeight="1">
      <c r="A87" s="34"/>
      <c r="B87" s="35"/>
      <c r="C87" s="55"/>
      <c r="D87" s="98"/>
      <c r="E87" s="318"/>
      <c r="F87" s="319"/>
      <c r="G87" s="319"/>
    </row>
    <row r="88" spans="1:9" ht="30.65" customHeight="1">
      <c r="A88" s="34" t="s">
        <v>522</v>
      </c>
      <c r="B88" s="35"/>
      <c r="C88" s="3"/>
      <c r="D88" s="3"/>
      <c r="E88" s="3"/>
      <c r="F88" s="3" t="s">
        <v>521</v>
      </c>
      <c r="G88" s="3"/>
    </row>
    <row r="89" spans="1:9" ht="15.75" customHeight="1">
      <c r="A89" s="18" t="s">
        <v>370</v>
      </c>
      <c r="B89" s="3"/>
      <c r="C89" s="284" t="s">
        <v>79</v>
      </c>
      <c r="D89" s="284"/>
      <c r="E89" s="47"/>
      <c r="F89" s="284" t="s">
        <v>351</v>
      </c>
      <c r="G89" s="284"/>
    </row>
    <row r="90" spans="1:9" ht="15.75" customHeight="1">
      <c r="A90" s="3"/>
      <c r="B90" s="3"/>
      <c r="C90" s="3"/>
      <c r="D90" s="3"/>
      <c r="E90" s="47"/>
      <c r="F90" s="3"/>
      <c r="G90" s="3"/>
    </row>
    <row r="91" spans="1:9" ht="15.65" customHeight="1">
      <c r="A91" s="283"/>
      <c r="B91" s="283"/>
      <c r="C91" s="283"/>
      <c r="D91" s="283"/>
      <c r="E91" s="283"/>
      <c r="F91" s="283"/>
      <c r="G91" s="283"/>
    </row>
    <row r="92" spans="1:9" ht="15.65" customHeight="1"/>
    <row r="94" spans="1:9" ht="15.75" customHeight="1"/>
    <row r="96" spans="1:9" ht="15.65" customHeight="1"/>
    <row r="103" ht="15.75" customHeight="1"/>
    <row r="105" ht="15.65" customHeight="1"/>
    <row r="111" ht="15.75" customHeight="1"/>
    <row r="113" ht="15.65" customHeight="1"/>
  </sheetData>
  <sheetProtection formatCells="0" formatColumns="0" formatRows="0" insertRows="0" deleteRows="0"/>
  <mergeCells count="12">
    <mergeCell ref="A91:G91"/>
    <mergeCell ref="F89:G89"/>
    <mergeCell ref="C89:D89"/>
    <mergeCell ref="A29:G29"/>
    <mergeCell ref="A50:G50"/>
    <mergeCell ref="E87:G87"/>
    <mergeCell ref="A8:G8"/>
    <mergeCell ref="A3:G3"/>
    <mergeCell ref="A5:A6"/>
    <mergeCell ref="B5:B6"/>
    <mergeCell ref="D5:G5"/>
    <mergeCell ref="C5:C6"/>
  </mergeCells>
  <phoneticPr fontId="3" type="noConversion"/>
  <pageMargins left="1.1811023622047243" right="0.39370078740157483" top="0.78740157480314965" bottom="0.78740157480314965" header="0" footer="0"/>
  <pageSetup paperSize="9" scale="64" fitToHeight="3" orientation="portrait" r:id="rId1"/>
  <headerFooter alignWithMargins="0"/>
  <rowBreaks count="1" manualBreakCount="1">
    <brk id="4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4"/>
  <sheetViews>
    <sheetView view="pageBreakPreview" topLeftCell="A79" zoomScaleNormal="100" zoomScaleSheetLayoutView="100" workbookViewId="0">
      <selection activeCell="H64" sqref="H64:I66"/>
    </sheetView>
  </sheetViews>
  <sheetFormatPr defaultRowHeight="15.5"/>
  <cols>
    <col min="1" max="1" width="55.453125" style="7" customWidth="1"/>
    <col min="2" max="2" width="15.54296875" style="7" customWidth="1"/>
    <col min="3" max="3" width="17.7265625" style="7" customWidth="1"/>
    <col min="4" max="4" width="13.453125" style="7" customWidth="1"/>
    <col min="5" max="5" width="12.7265625" style="7" customWidth="1"/>
    <col min="6" max="6" width="11.81640625" style="7" customWidth="1"/>
    <col min="7" max="7" width="13" style="7" customWidth="1"/>
    <col min="8" max="9" width="9.1796875" style="7"/>
  </cols>
  <sheetData>
    <row r="1" spans="1:9">
      <c r="G1" s="38" t="s">
        <v>237</v>
      </c>
    </row>
    <row r="2" spans="1:9">
      <c r="G2" s="38" t="s">
        <v>223</v>
      </c>
    </row>
    <row r="3" spans="1:9">
      <c r="A3" s="282" t="s">
        <v>359</v>
      </c>
      <c r="B3" s="282"/>
      <c r="C3" s="282"/>
      <c r="D3" s="282"/>
      <c r="E3" s="282"/>
      <c r="F3" s="282"/>
      <c r="G3" s="282"/>
    </row>
    <row r="4" spans="1:9">
      <c r="A4" s="38" t="s">
        <v>356</v>
      </c>
      <c r="B4" s="38"/>
      <c r="C4" s="38"/>
      <c r="D4" s="38"/>
      <c r="E4" s="38"/>
      <c r="F4" s="38"/>
      <c r="G4" s="38"/>
    </row>
    <row r="5" spans="1:9">
      <c r="A5" s="316" t="s">
        <v>283</v>
      </c>
      <c r="B5" s="317" t="s">
        <v>0</v>
      </c>
      <c r="C5" s="276" t="s">
        <v>346</v>
      </c>
      <c r="D5" s="313" t="s">
        <v>344</v>
      </c>
      <c r="E5" s="313"/>
      <c r="F5" s="313"/>
      <c r="G5" s="313"/>
    </row>
    <row r="6" spans="1:9" ht="31">
      <c r="A6" s="316"/>
      <c r="B6" s="317"/>
      <c r="C6" s="315"/>
      <c r="D6" s="23" t="s">
        <v>261</v>
      </c>
      <c r="E6" s="23" t="s">
        <v>244</v>
      </c>
      <c r="F6" s="21" t="s">
        <v>271</v>
      </c>
      <c r="G6" s="21" t="s">
        <v>272</v>
      </c>
    </row>
    <row r="7" spans="1:9">
      <c r="A7" s="23">
        <v>1</v>
      </c>
      <c r="B7" s="79">
        <v>2</v>
      </c>
      <c r="C7" s="23">
        <v>3</v>
      </c>
      <c r="D7" s="23">
        <v>4</v>
      </c>
      <c r="E7" s="79">
        <v>5</v>
      </c>
      <c r="F7" s="23">
        <v>6</v>
      </c>
      <c r="G7" s="79">
        <v>7</v>
      </c>
    </row>
    <row r="8" spans="1:9">
      <c r="A8" s="309" t="s">
        <v>157</v>
      </c>
      <c r="B8" s="310"/>
      <c r="C8" s="310"/>
      <c r="D8" s="310"/>
      <c r="E8" s="310"/>
      <c r="F8" s="310"/>
      <c r="G8" s="311"/>
      <c r="H8" s="51"/>
      <c r="I8" s="51"/>
    </row>
    <row r="9" spans="1:9" ht="31">
      <c r="A9" s="1" t="s">
        <v>175</v>
      </c>
      <c r="B9" s="42">
        <v>1170</v>
      </c>
      <c r="C9" s="44">
        <f>'1. Фін результат'!C115</f>
        <v>10</v>
      </c>
      <c r="D9" s="44">
        <f>'1. Фін результат'!D115</f>
        <v>1928</v>
      </c>
      <c r="E9" s="44">
        <f>ROUND('1. Фін результат'!E115,0)</f>
        <v>307</v>
      </c>
      <c r="F9" s="44">
        <f>E9-D9</f>
        <v>-1621</v>
      </c>
      <c r="G9" s="52">
        <f>E9/D9*100</f>
        <v>15.92323651452282</v>
      </c>
    </row>
    <row r="10" spans="1:9">
      <c r="A10" s="1" t="s">
        <v>176</v>
      </c>
      <c r="B10" s="53"/>
      <c r="C10" s="25"/>
      <c r="D10" s="25"/>
      <c r="E10" s="26"/>
      <c r="F10" s="25"/>
      <c r="G10" s="26"/>
      <c r="H10" s="7" t="s">
        <v>526</v>
      </c>
    </row>
    <row r="11" spans="1:9">
      <c r="A11" s="1" t="s">
        <v>179</v>
      </c>
      <c r="B11" s="22">
        <v>3000</v>
      </c>
      <c r="C11" s="25">
        <f>'1. Фін результат'!C141</f>
        <v>869</v>
      </c>
      <c r="D11" s="25">
        <f>'1. Фін результат'!D141</f>
        <v>1004</v>
      </c>
      <c r="E11" s="25">
        <v>1211</v>
      </c>
      <c r="F11" s="44">
        <f t="shared" ref="F11:F12" si="0">E11-D11</f>
        <v>207</v>
      </c>
      <c r="G11" s="52">
        <f t="shared" ref="G11" si="1">E11/D11*100</f>
        <v>120.61752988047809</v>
      </c>
      <c r="H11" s="7">
        <v>1012</v>
      </c>
    </row>
    <row r="12" spans="1:9">
      <c r="A12" s="1" t="s">
        <v>180</v>
      </c>
      <c r="B12" s="22">
        <v>3010</v>
      </c>
      <c r="C12" s="25">
        <v>126</v>
      </c>
      <c r="D12" s="25"/>
      <c r="E12" s="25">
        <f>E13</f>
        <v>4631</v>
      </c>
      <c r="F12" s="84">
        <f t="shared" si="0"/>
        <v>4631</v>
      </c>
      <c r="G12" s="250"/>
    </row>
    <row r="13" spans="1:9">
      <c r="A13" s="1" t="s">
        <v>551</v>
      </c>
      <c r="B13" s="22" t="s">
        <v>484</v>
      </c>
      <c r="C13" s="25">
        <v>126</v>
      </c>
      <c r="D13" s="25"/>
      <c r="E13" s="25">
        <v>4631</v>
      </c>
      <c r="F13" s="86">
        <v>571</v>
      </c>
      <c r="G13" s="28"/>
      <c r="I13" s="7" t="s">
        <v>546</v>
      </c>
    </row>
    <row r="14" spans="1:9">
      <c r="A14" s="1" t="s">
        <v>181</v>
      </c>
      <c r="B14" s="22">
        <v>3020</v>
      </c>
      <c r="C14" s="25"/>
      <c r="D14" s="251">
        <v>0</v>
      </c>
      <c r="E14" s="25">
        <v>0</v>
      </c>
      <c r="F14" s="86"/>
      <c r="G14" s="28"/>
    </row>
    <row r="15" spans="1:9" ht="31">
      <c r="A15" s="1" t="s">
        <v>182</v>
      </c>
      <c r="B15" s="22">
        <v>3030</v>
      </c>
      <c r="C15" s="25">
        <v>-11</v>
      </c>
      <c r="D15" s="25">
        <f>D16+D17+D19+D20</f>
        <v>-1004</v>
      </c>
      <c r="E15" s="25">
        <f>E16+E17+E19+E20+E18</f>
        <v>-150</v>
      </c>
      <c r="F15" s="84">
        <f>E15-D15</f>
        <v>854</v>
      </c>
      <c r="G15" s="250">
        <f>E15/D15*100</f>
        <v>14.940239043824702</v>
      </c>
    </row>
    <row r="16" spans="1:9" ht="31">
      <c r="A16" s="1" t="s">
        <v>495</v>
      </c>
      <c r="B16" s="22" t="s">
        <v>439</v>
      </c>
      <c r="C16" s="40">
        <v>-93</v>
      </c>
      <c r="D16" s="40"/>
      <c r="E16" s="192">
        <v>0</v>
      </c>
      <c r="F16" s="88"/>
      <c r="G16" s="88"/>
      <c r="H16" s="7" t="s">
        <v>550</v>
      </c>
    </row>
    <row r="17" spans="1:8" ht="31">
      <c r="A17" s="1" t="s">
        <v>496</v>
      </c>
      <c r="B17" s="22" t="s">
        <v>440</v>
      </c>
      <c r="C17" s="40">
        <v>82</v>
      </c>
      <c r="D17" s="40"/>
      <c r="E17" s="192"/>
      <c r="F17" s="84"/>
      <c r="G17" s="250"/>
    </row>
    <row r="18" spans="1:8">
      <c r="A18" s="1" t="s">
        <v>494</v>
      </c>
      <c r="B18" s="22" t="s">
        <v>441</v>
      </c>
      <c r="C18" s="40">
        <v>0</v>
      </c>
      <c r="D18" s="40"/>
      <c r="E18" s="192"/>
      <c r="F18" s="88"/>
      <c r="G18" s="88"/>
    </row>
    <row r="19" spans="1:8">
      <c r="A19" s="1" t="s">
        <v>494</v>
      </c>
      <c r="B19" s="22" t="s">
        <v>518</v>
      </c>
      <c r="C19" s="40"/>
      <c r="D19" s="40"/>
      <c r="E19" s="192"/>
      <c r="F19" s="88"/>
      <c r="G19" s="88"/>
    </row>
    <row r="20" spans="1:8">
      <c r="A20" s="1" t="s">
        <v>465</v>
      </c>
      <c r="B20" s="22" t="s">
        <v>493</v>
      </c>
      <c r="C20" s="40"/>
      <c r="D20" s="40">
        <v>-1004</v>
      </c>
      <c r="E20" s="192">
        <v>-150</v>
      </c>
      <c r="F20" s="88"/>
      <c r="G20" s="88"/>
    </row>
    <row r="21" spans="1:8" ht="30">
      <c r="A21" s="48" t="s">
        <v>252</v>
      </c>
      <c r="B21" s="49">
        <v>3040</v>
      </c>
      <c r="C21" s="50">
        <f>C9+C11+C12+C14+C15</f>
        <v>994</v>
      </c>
      <c r="D21" s="50">
        <f>D9+D11+D12+D14+D15</f>
        <v>1928</v>
      </c>
      <c r="E21" s="50">
        <f>E9+E11+E12+E14+E15</f>
        <v>5999</v>
      </c>
      <c r="F21" s="90">
        <f>E21-D21</f>
        <v>4071</v>
      </c>
      <c r="G21" s="252">
        <f>E21/D21*100</f>
        <v>311.15145228215766</v>
      </c>
    </row>
    <row r="22" spans="1:8" ht="31">
      <c r="A22" s="1" t="s">
        <v>183</v>
      </c>
      <c r="B22" s="22">
        <v>3050</v>
      </c>
      <c r="C22" s="25">
        <v>-485</v>
      </c>
      <c r="D22" s="25">
        <v>0</v>
      </c>
      <c r="E22" s="25">
        <f>E23+E24+E25</f>
        <v>-5991.8</v>
      </c>
      <c r="F22" s="84">
        <f t="shared" ref="F22:F26" si="2">E22-D22</f>
        <v>-5991.8</v>
      </c>
      <c r="G22" s="250" t="e">
        <f t="shared" ref="G22:G26" si="3">E22/D22*100</f>
        <v>#DIV/0!</v>
      </c>
    </row>
    <row r="23" spans="1:8">
      <c r="A23" s="1" t="s">
        <v>547</v>
      </c>
      <c r="B23" s="22" t="s">
        <v>443</v>
      </c>
      <c r="C23" s="25">
        <v>-485</v>
      </c>
      <c r="D23" s="40">
        <v>0</v>
      </c>
      <c r="E23" s="192">
        <v>-3701</v>
      </c>
      <c r="F23" s="84">
        <f t="shared" si="2"/>
        <v>-3701</v>
      </c>
      <c r="G23" s="250" t="e">
        <f t="shared" si="3"/>
        <v>#DIV/0!</v>
      </c>
    </row>
    <row r="24" spans="1:8">
      <c r="A24" s="1" t="s">
        <v>549</v>
      </c>
      <c r="B24" s="22" t="s">
        <v>589</v>
      </c>
      <c r="C24" s="25"/>
      <c r="D24" s="40"/>
      <c r="E24" s="192">
        <v>-2139.8000000000002</v>
      </c>
      <c r="F24" s="84"/>
      <c r="G24" s="250"/>
    </row>
    <row r="25" spans="1:8">
      <c r="A25" s="1" t="s">
        <v>548</v>
      </c>
      <c r="B25" s="22" t="s">
        <v>590</v>
      </c>
      <c r="C25" s="25"/>
      <c r="D25" s="40"/>
      <c r="E25" s="192">
        <v>-151</v>
      </c>
      <c r="F25" s="84"/>
      <c r="G25" s="250"/>
    </row>
    <row r="26" spans="1:8" ht="31">
      <c r="A26" s="1" t="s">
        <v>184</v>
      </c>
      <c r="B26" s="22">
        <v>3060</v>
      </c>
      <c r="C26" s="25">
        <v>-197</v>
      </c>
      <c r="D26" s="25">
        <v>0</v>
      </c>
      <c r="E26" s="25">
        <f>E27+E28</f>
        <v>1111</v>
      </c>
      <c r="F26" s="84">
        <f t="shared" si="2"/>
        <v>1111</v>
      </c>
      <c r="G26" s="250" t="e">
        <f t="shared" si="3"/>
        <v>#DIV/0!</v>
      </c>
    </row>
    <row r="27" spans="1:8">
      <c r="A27" s="1"/>
      <c r="B27" s="22"/>
      <c r="C27" s="25"/>
      <c r="D27" s="40"/>
      <c r="E27" s="192">
        <v>618</v>
      </c>
      <c r="F27" s="88"/>
      <c r="G27" s="88"/>
      <c r="H27" s="7" t="s">
        <v>529</v>
      </c>
    </row>
    <row r="28" spans="1:8">
      <c r="A28" s="1"/>
      <c r="B28" s="22"/>
      <c r="C28" s="25"/>
      <c r="D28" s="40"/>
      <c r="E28" s="192">
        <v>493</v>
      </c>
      <c r="F28" s="88"/>
      <c r="G28" s="88"/>
    </row>
    <row r="29" spans="1:8">
      <c r="A29" s="48" t="s">
        <v>177</v>
      </c>
      <c r="B29" s="49">
        <v>3070</v>
      </c>
      <c r="C29" s="50">
        <v>313</v>
      </c>
      <c r="D29" s="50">
        <f>D21+D22+D26</f>
        <v>1928</v>
      </c>
      <c r="E29" s="50">
        <f>E21+E22+E26</f>
        <v>1118.1999999999998</v>
      </c>
      <c r="F29" s="90">
        <f>E29-D29</f>
        <v>-809.80000000000018</v>
      </c>
      <c r="G29" s="250">
        <f>E29/D29*100</f>
        <v>57.997925311203311</v>
      </c>
    </row>
    <row r="30" spans="1:8">
      <c r="A30" s="1" t="s">
        <v>178</v>
      </c>
      <c r="B30" s="22">
        <v>3080</v>
      </c>
      <c r="C30" s="25">
        <f>'1. Фін результат'!C116</f>
        <v>0</v>
      </c>
      <c r="D30" s="25">
        <f>'1. Фін результат'!D116</f>
        <v>347</v>
      </c>
      <c r="E30" s="25">
        <f>'1. Фін результат'!E116</f>
        <v>0</v>
      </c>
      <c r="F30" s="84">
        <f t="shared" ref="F30:F31" si="4">E30-D30</f>
        <v>-347</v>
      </c>
      <c r="G30" s="250"/>
    </row>
    <row r="31" spans="1:8">
      <c r="A31" s="29" t="s">
        <v>156</v>
      </c>
      <c r="B31" s="49">
        <v>3090</v>
      </c>
      <c r="C31" s="50">
        <f>C29-C30</f>
        <v>313</v>
      </c>
      <c r="D31" s="50">
        <f>D29-D30</f>
        <v>1581</v>
      </c>
      <c r="E31" s="50">
        <f>E29-E30</f>
        <v>1118.1999999999998</v>
      </c>
      <c r="F31" s="90">
        <f t="shared" si="4"/>
        <v>-462.80000000000018</v>
      </c>
      <c r="G31" s="252">
        <f t="shared" ref="G31" si="5">E31/D31*100</f>
        <v>70.727387729285255</v>
      </c>
    </row>
    <row r="32" spans="1:8">
      <c r="A32" s="309" t="s">
        <v>158</v>
      </c>
      <c r="B32" s="310"/>
      <c r="C32" s="310"/>
      <c r="D32" s="310"/>
      <c r="E32" s="310"/>
      <c r="F32" s="310"/>
      <c r="G32" s="311"/>
    </row>
    <row r="33" spans="1:9">
      <c r="A33" s="48" t="s">
        <v>284</v>
      </c>
      <c r="B33" s="42"/>
      <c r="C33" s="44"/>
      <c r="D33" s="44"/>
      <c r="E33" s="44"/>
      <c r="F33" s="84"/>
      <c r="G33" s="250"/>
    </row>
    <row r="34" spans="1:9">
      <c r="A34" s="2" t="s">
        <v>32</v>
      </c>
      <c r="B34" s="42">
        <v>3200</v>
      </c>
      <c r="C34" s="44"/>
      <c r="D34" s="44"/>
      <c r="E34" s="44"/>
      <c r="F34" s="84"/>
      <c r="G34" s="250"/>
    </row>
    <row r="35" spans="1:9">
      <c r="A35" s="2" t="s">
        <v>33</v>
      </c>
      <c r="B35" s="42">
        <v>3210</v>
      </c>
      <c r="C35" s="44"/>
      <c r="D35" s="44"/>
      <c r="E35" s="44"/>
      <c r="F35" s="84"/>
      <c r="G35" s="250"/>
    </row>
    <row r="36" spans="1:9">
      <c r="A36" s="2" t="s">
        <v>54</v>
      </c>
      <c r="B36" s="42">
        <v>3220</v>
      </c>
      <c r="C36" s="44"/>
      <c r="D36" s="44"/>
      <c r="E36" s="44"/>
      <c r="F36" s="84"/>
      <c r="G36" s="250"/>
    </row>
    <row r="37" spans="1:9">
      <c r="A37" s="1" t="s">
        <v>161</v>
      </c>
      <c r="B37" s="42"/>
      <c r="C37" s="44"/>
      <c r="D37" s="44"/>
      <c r="E37" s="44"/>
      <c r="F37" s="84"/>
      <c r="G37" s="250"/>
    </row>
    <row r="38" spans="1:9">
      <c r="A38" s="2" t="s">
        <v>162</v>
      </c>
      <c r="B38" s="42">
        <v>3230</v>
      </c>
      <c r="C38" s="44"/>
      <c r="D38" s="44"/>
      <c r="E38" s="44"/>
      <c r="F38" s="84"/>
      <c r="G38" s="250"/>
    </row>
    <row r="39" spans="1:9">
      <c r="A39" s="2" t="s">
        <v>163</v>
      </c>
      <c r="B39" s="42">
        <v>3240</v>
      </c>
      <c r="C39" s="44"/>
      <c r="D39" s="44"/>
      <c r="E39" s="44"/>
      <c r="F39" s="84"/>
      <c r="G39" s="250"/>
    </row>
    <row r="40" spans="1:9">
      <c r="A40" s="1" t="s">
        <v>164</v>
      </c>
      <c r="B40" s="42">
        <v>3250</v>
      </c>
      <c r="C40" s="44"/>
      <c r="D40" s="44"/>
      <c r="E40" s="44"/>
      <c r="F40" s="84"/>
      <c r="G40" s="250"/>
    </row>
    <row r="41" spans="1:9">
      <c r="A41" s="2" t="s">
        <v>118</v>
      </c>
      <c r="B41" s="42">
        <v>3260</v>
      </c>
      <c r="C41" s="44"/>
      <c r="D41" s="44"/>
      <c r="E41" s="44"/>
      <c r="F41" s="84"/>
      <c r="G41" s="250"/>
    </row>
    <row r="42" spans="1:9">
      <c r="A42" s="48" t="s">
        <v>285</v>
      </c>
      <c r="B42" s="42"/>
      <c r="C42" s="44"/>
      <c r="D42" s="44"/>
      <c r="E42" s="44"/>
      <c r="F42" s="84"/>
      <c r="G42" s="250"/>
    </row>
    <row r="43" spans="1:9" ht="31">
      <c r="A43" s="2" t="s">
        <v>119</v>
      </c>
      <c r="B43" s="42">
        <v>3270</v>
      </c>
      <c r="C43" s="44">
        <v>640</v>
      </c>
      <c r="D43" s="44">
        <v>1231</v>
      </c>
      <c r="E43" s="44">
        <f>E44+E45</f>
        <v>3559</v>
      </c>
      <c r="F43" s="84">
        <f t="shared" ref="F43:F44" si="6">E43-D43</f>
        <v>2328</v>
      </c>
      <c r="G43" s="250">
        <f t="shared" ref="G43:G44" si="7">E43/D43*100</f>
        <v>289.1145410235581</v>
      </c>
    </row>
    <row r="44" spans="1:9" ht="31">
      <c r="A44" s="2" t="s">
        <v>460</v>
      </c>
      <c r="B44" s="42" t="s">
        <v>461</v>
      </c>
      <c r="C44" s="44"/>
      <c r="D44" s="44">
        <v>1231</v>
      </c>
      <c r="E44" s="44"/>
      <c r="F44" s="84">
        <f t="shared" si="6"/>
        <v>-1231</v>
      </c>
      <c r="G44" s="250">
        <f t="shared" si="7"/>
        <v>0</v>
      </c>
    </row>
    <row r="45" spans="1:9" ht="31">
      <c r="A45" s="2" t="s">
        <v>497</v>
      </c>
      <c r="B45" s="42" t="s">
        <v>500</v>
      </c>
      <c r="C45" s="44">
        <v>640</v>
      </c>
      <c r="D45" s="44"/>
      <c r="E45" s="44">
        <v>3559</v>
      </c>
      <c r="F45" s="84"/>
      <c r="G45" s="250"/>
      <c r="H45" s="7">
        <v>1011</v>
      </c>
      <c r="I45" s="7">
        <v>3079</v>
      </c>
    </row>
    <row r="46" spans="1:9">
      <c r="A46" s="2" t="s">
        <v>120</v>
      </c>
      <c r="B46" s="42">
        <v>3280</v>
      </c>
      <c r="C46" s="44"/>
      <c r="D46" s="44">
        <f>D47</f>
        <v>0</v>
      </c>
      <c r="E46" s="44"/>
      <c r="F46" s="84"/>
      <c r="G46" s="250"/>
    </row>
    <row r="47" spans="1:9" ht="31">
      <c r="A47" s="2" t="s">
        <v>490</v>
      </c>
      <c r="B47" s="42" t="s">
        <v>489</v>
      </c>
      <c r="C47" s="44"/>
      <c r="D47" s="44"/>
      <c r="E47" s="44"/>
      <c r="F47" s="84"/>
      <c r="G47" s="250"/>
    </row>
    <row r="48" spans="1:9" ht="31">
      <c r="A48" s="2" t="s">
        <v>121</v>
      </c>
      <c r="B48" s="42">
        <v>3290</v>
      </c>
      <c r="C48" s="44"/>
      <c r="D48" s="44"/>
      <c r="E48" s="44"/>
      <c r="F48" s="84"/>
      <c r="G48" s="250"/>
    </row>
    <row r="49" spans="1:7">
      <c r="A49" s="2" t="s">
        <v>55</v>
      </c>
      <c r="B49" s="42">
        <v>3300</v>
      </c>
      <c r="C49" s="44"/>
      <c r="D49" s="44"/>
      <c r="E49" s="44"/>
      <c r="F49" s="84"/>
      <c r="G49" s="250"/>
    </row>
    <row r="50" spans="1:7">
      <c r="A50" s="2" t="s">
        <v>113</v>
      </c>
      <c r="B50" s="42">
        <v>3310</v>
      </c>
      <c r="C50" s="44">
        <v>0</v>
      </c>
      <c r="D50" s="44"/>
      <c r="E50" s="44">
        <f>E51</f>
        <v>0</v>
      </c>
      <c r="F50" s="84"/>
      <c r="G50" s="250"/>
    </row>
    <row r="51" spans="1:7" ht="31">
      <c r="A51" s="2" t="s">
        <v>446</v>
      </c>
      <c r="B51" s="22" t="s">
        <v>447</v>
      </c>
      <c r="C51" s="40">
        <v>0</v>
      </c>
      <c r="D51" s="40"/>
      <c r="E51" s="40"/>
      <c r="F51" s="92"/>
      <c r="G51" s="92"/>
    </row>
    <row r="52" spans="1:7">
      <c r="A52" s="1" t="s">
        <v>159</v>
      </c>
      <c r="B52" s="42">
        <v>3320</v>
      </c>
      <c r="C52" s="44">
        <f>C34+C35+C36+C37+C40+C41-C43-C46-C48-C49-C50+C38</f>
        <v>-640</v>
      </c>
      <c r="D52" s="44">
        <f>D34+D35+D36+D37+D40+D41-D43-D46-D48-D49-D50</f>
        <v>-1231</v>
      </c>
      <c r="E52" s="44">
        <f>E34+E35+E36+E37+E40+E41-E43-E46-E48-E49-E50+E38</f>
        <v>-3559</v>
      </c>
      <c r="F52" s="84">
        <f t="shared" ref="F52" si="8">E52-D52</f>
        <v>-2328</v>
      </c>
      <c r="G52" s="250">
        <f t="shared" ref="G52" si="9">E52/D52*100</f>
        <v>289.1145410235581</v>
      </c>
    </row>
    <row r="53" spans="1:7">
      <c r="A53" s="309" t="s">
        <v>160</v>
      </c>
      <c r="B53" s="310"/>
      <c r="C53" s="310"/>
      <c r="D53" s="310"/>
      <c r="E53" s="310"/>
      <c r="F53" s="310"/>
      <c r="G53" s="311"/>
    </row>
    <row r="54" spans="1:7">
      <c r="A54" s="48" t="s">
        <v>284</v>
      </c>
      <c r="B54" s="42"/>
      <c r="C54" s="44"/>
      <c r="D54" s="44"/>
      <c r="E54" s="52"/>
      <c r="F54" s="84"/>
      <c r="G54" s="250"/>
    </row>
    <row r="55" spans="1:7">
      <c r="A55" s="1" t="s">
        <v>165</v>
      </c>
      <c r="B55" s="42">
        <v>3400</v>
      </c>
      <c r="C55" s="44"/>
      <c r="D55" s="44"/>
      <c r="E55" s="52"/>
      <c r="F55" s="84"/>
      <c r="G55" s="250"/>
    </row>
    <row r="56" spans="1:7" ht="31">
      <c r="A56" s="2" t="s">
        <v>92</v>
      </c>
      <c r="B56" s="53"/>
      <c r="C56" s="54"/>
      <c r="D56" s="54"/>
      <c r="E56" s="253"/>
      <c r="F56" s="94"/>
      <c r="G56" s="254"/>
    </row>
    <row r="57" spans="1:7">
      <c r="A57" s="2" t="s">
        <v>91</v>
      </c>
      <c r="B57" s="42">
        <v>3410</v>
      </c>
      <c r="C57" s="44"/>
      <c r="D57" s="44"/>
      <c r="E57" s="52"/>
      <c r="F57" s="84"/>
      <c r="G57" s="250"/>
    </row>
    <row r="58" spans="1:7">
      <c r="A58" s="2" t="s">
        <v>96</v>
      </c>
      <c r="B58" s="22">
        <v>3420</v>
      </c>
      <c r="C58" s="25"/>
      <c r="D58" s="25"/>
      <c r="E58" s="26"/>
      <c r="F58" s="86"/>
      <c r="G58" s="28"/>
    </row>
    <row r="59" spans="1:7">
      <c r="A59" s="2" t="s">
        <v>122</v>
      </c>
      <c r="B59" s="42">
        <v>3430</v>
      </c>
      <c r="C59" s="44"/>
      <c r="D59" s="44"/>
      <c r="E59" s="52"/>
      <c r="F59" s="84"/>
      <c r="G59" s="250"/>
    </row>
    <row r="60" spans="1:7" ht="31">
      <c r="A60" s="2" t="s">
        <v>94</v>
      </c>
      <c r="B60" s="42"/>
      <c r="C60" s="44"/>
      <c r="D60" s="44"/>
      <c r="E60" s="52"/>
      <c r="F60" s="84"/>
      <c r="G60" s="250"/>
    </row>
    <row r="61" spans="1:7">
      <c r="A61" s="2" t="s">
        <v>91</v>
      </c>
      <c r="B61" s="22">
        <v>3440</v>
      </c>
      <c r="C61" s="25"/>
      <c r="D61" s="25"/>
      <c r="E61" s="26"/>
      <c r="F61" s="86"/>
      <c r="G61" s="28"/>
    </row>
    <row r="62" spans="1:7">
      <c r="A62" s="2" t="s">
        <v>96</v>
      </c>
      <c r="B62" s="22">
        <v>3450</v>
      </c>
      <c r="C62" s="25"/>
      <c r="D62" s="25"/>
      <c r="E62" s="26"/>
      <c r="F62" s="86"/>
      <c r="G62" s="28"/>
    </row>
    <row r="63" spans="1:7">
      <c r="A63" s="2" t="s">
        <v>122</v>
      </c>
      <c r="B63" s="22">
        <v>3460</v>
      </c>
      <c r="C63" s="25"/>
      <c r="D63" s="25"/>
      <c r="E63" s="26"/>
      <c r="F63" s="86"/>
      <c r="G63" s="28"/>
    </row>
    <row r="64" spans="1:7">
      <c r="A64" s="2" t="s">
        <v>117</v>
      </c>
      <c r="B64" s="22">
        <v>3470</v>
      </c>
      <c r="C64" s="25"/>
      <c r="D64" s="25">
        <f>D65</f>
        <v>0</v>
      </c>
      <c r="E64" s="26">
        <f>E65</f>
        <v>0</v>
      </c>
      <c r="F64" s="86"/>
      <c r="G64" s="28"/>
    </row>
    <row r="65" spans="1:8">
      <c r="A65" s="2" t="s">
        <v>540</v>
      </c>
      <c r="B65" s="22" t="s">
        <v>459</v>
      </c>
      <c r="C65" s="25"/>
      <c r="D65" s="25"/>
      <c r="E65" s="25"/>
      <c r="F65" s="86"/>
      <c r="G65" s="28"/>
      <c r="H65" s="7">
        <v>1525</v>
      </c>
    </row>
    <row r="66" spans="1:8">
      <c r="A66" s="2" t="s">
        <v>118</v>
      </c>
      <c r="B66" s="22">
        <v>3480</v>
      </c>
      <c r="C66" s="25">
        <v>5452</v>
      </c>
      <c r="D66" s="25">
        <f>D67</f>
        <v>1000</v>
      </c>
      <c r="E66" s="25">
        <f>E67+E68</f>
        <v>1000</v>
      </c>
      <c r="F66" s="84">
        <f t="shared" ref="F66" si="10">E66-D66</f>
        <v>0</v>
      </c>
      <c r="G66" s="250">
        <f t="shared" ref="G66" si="11">E66/D66*100</f>
        <v>100</v>
      </c>
    </row>
    <row r="67" spans="1:8" ht="31">
      <c r="A67" s="2" t="s">
        <v>501</v>
      </c>
      <c r="B67" s="22" t="s">
        <v>448</v>
      </c>
      <c r="C67" s="40">
        <v>6100</v>
      </c>
      <c r="D67" s="40">
        <v>1000</v>
      </c>
      <c r="E67" s="192">
        <v>1000</v>
      </c>
      <c r="F67" s="88"/>
      <c r="G67" s="88"/>
      <c r="H67" s="7" t="s">
        <v>530</v>
      </c>
    </row>
    <row r="68" spans="1:8">
      <c r="A68" s="2" t="s">
        <v>571</v>
      </c>
      <c r="B68" s="22" t="s">
        <v>491</v>
      </c>
      <c r="C68" s="40"/>
      <c r="D68" s="40"/>
      <c r="E68" s="192"/>
      <c r="F68" s="88"/>
      <c r="G68" s="88"/>
      <c r="H68" s="7" t="s">
        <v>587</v>
      </c>
    </row>
    <row r="69" spans="1:8" ht="31">
      <c r="A69" s="2" t="s">
        <v>492</v>
      </c>
      <c r="B69" s="22" t="s">
        <v>582</v>
      </c>
      <c r="C69" s="40">
        <v>-648</v>
      </c>
      <c r="D69" s="40"/>
      <c r="E69" s="192"/>
      <c r="F69" s="88"/>
      <c r="G69" s="88"/>
      <c r="H69" s="7">
        <v>1410</v>
      </c>
    </row>
    <row r="70" spans="1:8">
      <c r="A70" s="48" t="s">
        <v>285</v>
      </c>
      <c r="B70" s="42"/>
      <c r="C70" s="44"/>
      <c r="D70" s="44"/>
      <c r="E70" s="52"/>
      <c r="F70" s="84"/>
      <c r="G70" s="250"/>
    </row>
    <row r="71" spans="1:8" ht="31">
      <c r="A71" s="2" t="s">
        <v>475</v>
      </c>
      <c r="B71" s="42">
        <v>3490</v>
      </c>
      <c r="C71" s="44">
        <v>0</v>
      </c>
      <c r="D71" s="44">
        <f>'2. Розрахунки з бюджетом'!D22</f>
        <v>237</v>
      </c>
      <c r="E71" s="44">
        <f>'2. Розрахунки з бюджетом'!E22</f>
        <v>34.5</v>
      </c>
      <c r="F71" s="84">
        <f t="shared" ref="F71" si="12">E71-D71</f>
        <v>-202.5</v>
      </c>
      <c r="G71" s="250">
        <f t="shared" ref="G71" si="13">E71/D71*100</f>
        <v>14.556962025316455</v>
      </c>
    </row>
    <row r="72" spans="1:8" ht="77.5">
      <c r="A72" s="2" t="s">
        <v>476</v>
      </c>
      <c r="B72" s="42">
        <v>3500</v>
      </c>
      <c r="C72" s="44"/>
      <c r="D72" s="44">
        <f>'2. Розрахунки з бюджетом'!D23</f>
        <v>806</v>
      </c>
      <c r="E72" s="44">
        <f>'2. Розрахунки з бюджетом'!E23</f>
        <v>115.5</v>
      </c>
      <c r="F72" s="84"/>
      <c r="G72" s="250"/>
    </row>
    <row r="73" spans="1:8" ht="31">
      <c r="A73" s="2" t="s">
        <v>95</v>
      </c>
      <c r="B73" s="42"/>
      <c r="C73" s="44"/>
      <c r="D73" s="44"/>
      <c r="E73" s="52"/>
      <c r="F73" s="84"/>
      <c r="G73" s="250"/>
    </row>
    <row r="74" spans="1:8">
      <c r="A74" s="2" t="s">
        <v>91</v>
      </c>
      <c r="B74" s="22">
        <v>3510</v>
      </c>
      <c r="C74" s="25"/>
      <c r="D74" s="25"/>
      <c r="E74" s="26"/>
      <c r="F74" s="86"/>
      <c r="G74" s="28"/>
    </row>
    <row r="75" spans="1:8">
      <c r="A75" s="2" t="s">
        <v>96</v>
      </c>
      <c r="B75" s="22">
        <v>3520</v>
      </c>
      <c r="C75" s="25"/>
      <c r="D75" s="25"/>
      <c r="E75" s="26"/>
      <c r="F75" s="86"/>
      <c r="G75" s="28"/>
    </row>
    <row r="76" spans="1:8">
      <c r="A76" s="2" t="s">
        <v>122</v>
      </c>
      <c r="B76" s="22">
        <v>3530</v>
      </c>
      <c r="C76" s="25"/>
      <c r="D76" s="25"/>
      <c r="E76" s="26"/>
      <c r="F76" s="86"/>
      <c r="G76" s="28"/>
    </row>
    <row r="77" spans="1:8" ht="31">
      <c r="A77" s="2" t="s">
        <v>93</v>
      </c>
      <c r="B77" s="42"/>
      <c r="C77" s="44"/>
      <c r="D77" s="44"/>
      <c r="E77" s="52"/>
      <c r="F77" s="84"/>
      <c r="G77" s="250"/>
    </row>
    <row r="78" spans="1:8">
      <c r="A78" s="2" t="s">
        <v>91</v>
      </c>
      <c r="B78" s="22">
        <v>3540</v>
      </c>
      <c r="C78" s="25"/>
      <c r="D78" s="25"/>
      <c r="E78" s="26"/>
      <c r="F78" s="86"/>
      <c r="G78" s="28"/>
    </row>
    <row r="79" spans="1:8">
      <c r="A79" s="2" t="s">
        <v>96</v>
      </c>
      <c r="B79" s="22">
        <v>3550</v>
      </c>
      <c r="C79" s="25"/>
      <c r="D79" s="25"/>
      <c r="E79" s="26"/>
      <c r="F79" s="86"/>
      <c r="G79" s="28"/>
    </row>
    <row r="80" spans="1:8">
      <c r="A80" s="2" t="s">
        <v>122</v>
      </c>
      <c r="B80" s="22">
        <v>3560</v>
      </c>
      <c r="C80" s="25"/>
      <c r="D80" s="25"/>
      <c r="E80" s="26"/>
      <c r="F80" s="86"/>
      <c r="G80" s="28"/>
    </row>
    <row r="81" spans="1:9">
      <c r="A81" s="2" t="s">
        <v>113</v>
      </c>
      <c r="B81" s="22">
        <v>3570</v>
      </c>
      <c r="C81" s="25"/>
      <c r="D81" s="25"/>
      <c r="E81" s="25">
        <f>E82</f>
        <v>741</v>
      </c>
      <c r="F81" s="84">
        <f t="shared" ref="F81" si="14">E81-D81</f>
        <v>741</v>
      </c>
      <c r="G81" s="250" t="e">
        <f t="shared" ref="G81" si="15">E81/D81*100</f>
        <v>#DIV/0!</v>
      </c>
      <c r="H81" s="32"/>
      <c r="I81" s="32"/>
    </row>
    <row r="82" spans="1:9" ht="31">
      <c r="A82" s="2" t="s">
        <v>592</v>
      </c>
      <c r="B82" s="22" t="s">
        <v>591</v>
      </c>
      <c r="C82" s="25"/>
      <c r="D82" s="25"/>
      <c r="E82" s="25">
        <v>741</v>
      </c>
      <c r="F82" s="84"/>
      <c r="G82" s="250"/>
      <c r="H82" s="32"/>
      <c r="I82" s="32"/>
    </row>
    <row r="83" spans="1:9">
      <c r="A83" s="48" t="s">
        <v>486</v>
      </c>
      <c r="B83" s="22">
        <v>3580</v>
      </c>
      <c r="C83" s="25">
        <v>5452</v>
      </c>
      <c r="D83" s="25">
        <f>$D$55+$D$57+$D$58+$D$59+$D$61+$D$62+$D$63+$D$64+$D$66-$D$71-$D$72-$D$74-$D$75-$D$76-$D$78-$D$79-$D$80-$D$81</f>
        <v>-43</v>
      </c>
      <c r="E83" s="25">
        <f>$E$55+$E$57+$E$58+$E$59+$E$61+$E$62+$E$63+$E$64+$E$66-$E$71-$E$72-$E$74-$E$75-$E$76-$E$78-$E$79-$E$80-$E$81</f>
        <v>109</v>
      </c>
      <c r="F83" s="84"/>
      <c r="G83" s="250"/>
      <c r="H83" s="32"/>
      <c r="I83" s="32"/>
    </row>
    <row r="84" spans="1:9">
      <c r="A84" s="2" t="s">
        <v>487</v>
      </c>
      <c r="B84" s="22"/>
      <c r="C84" s="25">
        <v>0</v>
      </c>
      <c r="D84" s="25"/>
      <c r="E84" s="26"/>
      <c r="F84" s="84"/>
      <c r="G84" s="250"/>
      <c r="H84" s="32"/>
      <c r="I84" s="32"/>
    </row>
    <row r="85" spans="1:9">
      <c r="A85" s="29" t="s">
        <v>34</v>
      </c>
      <c r="B85" s="22">
        <v>3600</v>
      </c>
      <c r="C85" s="25">
        <v>790</v>
      </c>
      <c r="D85" s="25">
        <v>737</v>
      </c>
      <c r="E85" s="25">
        <v>5914.9</v>
      </c>
      <c r="F85" s="84">
        <f t="shared" ref="F85" si="16">E85-D85</f>
        <v>5177.8999999999996</v>
      </c>
      <c r="G85" s="250">
        <f t="shared" ref="G85" si="17">E85/D85*100</f>
        <v>802.56445047489819</v>
      </c>
      <c r="H85" s="32">
        <v>5915</v>
      </c>
      <c r="I85" s="32"/>
    </row>
    <row r="86" spans="1:9">
      <c r="A86" s="31" t="s">
        <v>286</v>
      </c>
      <c r="B86" s="22">
        <v>3610</v>
      </c>
      <c r="C86" s="25"/>
      <c r="D86" s="25"/>
      <c r="E86" s="26"/>
      <c r="F86" s="86"/>
      <c r="G86" s="28"/>
      <c r="H86" s="32"/>
      <c r="I86" s="32"/>
    </row>
    <row r="87" spans="1:9">
      <c r="A87" s="29" t="s">
        <v>56</v>
      </c>
      <c r="B87" s="22">
        <v>3620</v>
      </c>
      <c r="C87" s="25">
        <v>5915</v>
      </c>
      <c r="D87" s="25">
        <f>D85+D31+D52+D83</f>
        <v>1044</v>
      </c>
      <c r="E87" s="26">
        <f>E85+E31+E52+E83</f>
        <v>3583.0999999999995</v>
      </c>
      <c r="F87" s="84">
        <f t="shared" ref="F87:F88" si="18">E87-D87</f>
        <v>2539.0999999999995</v>
      </c>
      <c r="G87" s="250">
        <f t="shared" ref="G87:G88" si="19">E87/D87*100</f>
        <v>343.20881226053632</v>
      </c>
      <c r="H87" s="32">
        <v>3582.3</v>
      </c>
      <c r="I87" s="97">
        <f>E87-H87</f>
        <v>0.7999999999992724</v>
      </c>
    </row>
    <row r="88" spans="1:9">
      <c r="A88" s="29" t="s">
        <v>35</v>
      </c>
      <c r="B88" s="22">
        <v>3630</v>
      </c>
      <c r="C88" s="25">
        <f>C87-C85</f>
        <v>5125</v>
      </c>
      <c r="D88" s="25">
        <f>D87-D85</f>
        <v>307</v>
      </c>
      <c r="E88" s="25">
        <f>E87-E85</f>
        <v>-2331.8000000000002</v>
      </c>
      <c r="F88" s="84">
        <f t="shared" si="18"/>
        <v>-2638.8</v>
      </c>
      <c r="G88" s="250">
        <f t="shared" si="19"/>
        <v>-759.54397394136811</v>
      </c>
      <c r="H88" s="255">
        <v>532.20000000000005</v>
      </c>
      <c r="I88" s="77"/>
    </row>
    <row r="89" spans="1:9">
      <c r="A89" s="3"/>
      <c r="B89" s="45"/>
      <c r="C89" s="35"/>
      <c r="D89" s="35"/>
      <c r="E89" s="35"/>
      <c r="F89" s="45"/>
      <c r="G89" s="45"/>
    </row>
    <row r="90" spans="1:9">
      <c r="A90" s="34"/>
      <c r="B90" s="35"/>
      <c r="C90" s="55"/>
      <c r="D90" s="98"/>
      <c r="E90" s="318"/>
      <c r="F90" s="319"/>
      <c r="G90" s="319"/>
    </row>
    <row r="91" spans="1:9" ht="30.5">
      <c r="A91" s="34" t="s">
        <v>522</v>
      </c>
      <c r="B91" s="35"/>
      <c r="C91" s="3"/>
      <c r="D91" s="3"/>
      <c r="E91" s="3"/>
      <c r="F91" s="3" t="s">
        <v>521</v>
      </c>
      <c r="G91" s="3"/>
    </row>
    <row r="92" spans="1:9">
      <c r="A92" s="18" t="s">
        <v>370</v>
      </c>
      <c r="B92" s="3"/>
      <c r="C92" s="284" t="s">
        <v>79</v>
      </c>
      <c r="D92" s="284"/>
      <c r="E92" s="3"/>
      <c r="F92" s="284" t="s">
        <v>351</v>
      </c>
      <c r="G92" s="284"/>
    </row>
    <row r="93" spans="1:9">
      <c r="A93" s="3"/>
      <c r="B93" s="3"/>
      <c r="C93" s="3"/>
      <c r="D93" s="3"/>
      <c r="E93" s="3"/>
      <c r="F93" s="3"/>
      <c r="G93" s="3"/>
    </row>
    <row r="94" spans="1:9">
      <c r="A94" s="283"/>
      <c r="B94" s="283"/>
      <c r="C94" s="283"/>
      <c r="D94" s="283"/>
      <c r="E94" s="283"/>
      <c r="F94" s="283"/>
      <c r="G94" s="283"/>
    </row>
  </sheetData>
  <mergeCells count="12">
    <mergeCell ref="A94:G94"/>
    <mergeCell ref="A3:G3"/>
    <mergeCell ref="A5:A6"/>
    <mergeCell ref="B5:B6"/>
    <mergeCell ref="C5:C6"/>
    <mergeCell ref="D5:G5"/>
    <mergeCell ref="A8:G8"/>
    <mergeCell ref="A32:G32"/>
    <mergeCell ref="A53:G53"/>
    <mergeCell ref="E90:G90"/>
    <mergeCell ref="C92:D92"/>
    <mergeCell ref="F92:G92"/>
  </mergeCells>
  <phoneticPr fontId="3" type="noConversion"/>
  <pageMargins left="1.1811023622047243" right="0.39370078740157483" top="0.78740157480314965" bottom="0.78740157480314965" header="0" footer="0"/>
  <pageSetup paperSize="9" scale="62" orientation="portrait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rgb="FFFFFF99"/>
  </sheetPr>
  <dimension ref="A1:X182"/>
  <sheetViews>
    <sheetView view="pageBreakPreview" zoomScale="80" zoomScaleNormal="75" zoomScaleSheetLayoutView="80" workbookViewId="0">
      <selection activeCell="E8" sqref="E8"/>
    </sheetView>
  </sheetViews>
  <sheetFormatPr defaultColWidth="9.1796875" defaultRowHeight="15.5"/>
  <cols>
    <col min="1" max="1" width="67.7265625" style="7" customWidth="1"/>
    <col min="2" max="2" width="9.81640625" style="37" customWidth="1"/>
    <col min="3" max="3" width="20.453125" style="37" customWidth="1"/>
    <col min="4" max="4" width="17.7265625" style="59" customWidth="1"/>
    <col min="5" max="5" width="18.453125" style="37" customWidth="1"/>
    <col min="6" max="6" width="18.81640625" style="37" customWidth="1"/>
    <col min="7" max="7" width="18.54296875" style="37" customWidth="1"/>
    <col min="8" max="8" width="9.54296875" style="7" customWidth="1"/>
    <col min="9" max="9" width="9.81640625" style="7" customWidth="1"/>
    <col min="10" max="16384" width="9.1796875" style="7"/>
  </cols>
  <sheetData>
    <row r="1" spans="1:24">
      <c r="A1" s="282" t="s">
        <v>360</v>
      </c>
      <c r="B1" s="282"/>
      <c r="C1" s="282"/>
      <c r="D1" s="282"/>
      <c r="E1" s="282"/>
      <c r="F1" s="282"/>
      <c r="G1" s="282"/>
    </row>
    <row r="2" spans="1:24">
      <c r="A2" s="320"/>
      <c r="B2" s="320"/>
      <c r="C2" s="320"/>
      <c r="D2" s="320"/>
      <c r="E2" s="320"/>
      <c r="F2" s="320"/>
      <c r="G2" s="320"/>
    </row>
    <row r="3" spans="1:24" ht="43.5" customHeight="1">
      <c r="A3" s="279" t="s">
        <v>283</v>
      </c>
      <c r="B3" s="276" t="s">
        <v>18</v>
      </c>
      <c r="C3" s="276" t="s">
        <v>346</v>
      </c>
      <c r="D3" s="272" t="s">
        <v>344</v>
      </c>
      <c r="E3" s="273"/>
      <c r="F3" s="273"/>
      <c r="G3" s="274"/>
    </row>
    <row r="4" spans="1:24" ht="56.25" customHeight="1">
      <c r="A4" s="280"/>
      <c r="B4" s="277"/>
      <c r="C4" s="277"/>
      <c r="D4" s="74" t="s">
        <v>261</v>
      </c>
      <c r="E4" s="23" t="s">
        <v>244</v>
      </c>
      <c r="F4" s="21" t="s">
        <v>271</v>
      </c>
      <c r="G4" s="21" t="s">
        <v>272</v>
      </c>
    </row>
    <row r="5" spans="1:24" ht="18" customHeight="1">
      <c r="A5" s="22">
        <v>1</v>
      </c>
      <c r="B5" s="23">
        <v>2</v>
      </c>
      <c r="C5" s="22">
        <v>3</v>
      </c>
      <c r="D5" s="69">
        <v>4</v>
      </c>
      <c r="E5" s="23">
        <v>5</v>
      </c>
      <c r="F5" s="22">
        <v>6</v>
      </c>
      <c r="G5" s="23">
        <v>7</v>
      </c>
      <c r="Q5" s="57"/>
      <c r="R5" s="57"/>
      <c r="S5" s="57"/>
      <c r="T5" s="57"/>
      <c r="U5" s="57"/>
      <c r="V5" s="57"/>
      <c r="W5" s="57"/>
      <c r="X5" s="57"/>
    </row>
    <row r="6" spans="1:24" s="32" customFormat="1" ht="42.75" customHeight="1">
      <c r="A6" s="2" t="s">
        <v>82</v>
      </c>
      <c r="B6" s="42">
        <v>4000</v>
      </c>
      <c r="C6" s="44">
        <v>640</v>
      </c>
      <c r="D6" s="76">
        <v>1231</v>
      </c>
      <c r="E6" s="44">
        <f>E8</f>
        <v>3635</v>
      </c>
      <c r="F6" s="44">
        <f>E6-D6</f>
        <v>2404</v>
      </c>
      <c r="G6" s="52">
        <f>E6/D6*100</f>
        <v>295.28838342810724</v>
      </c>
      <c r="Q6" s="178"/>
      <c r="R6" s="178"/>
      <c r="S6" s="178"/>
      <c r="T6" s="178"/>
      <c r="U6" s="178"/>
      <c r="V6" s="178"/>
      <c r="W6" s="178"/>
      <c r="X6" s="178"/>
    </row>
    <row r="7" spans="1:24" ht="20.149999999999999" customHeight="1">
      <c r="A7" s="2" t="s">
        <v>1</v>
      </c>
      <c r="B7" s="22" t="s">
        <v>220</v>
      </c>
      <c r="C7" s="25"/>
      <c r="D7" s="75"/>
      <c r="E7" s="25"/>
      <c r="F7" s="44"/>
      <c r="G7" s="52"/>
      <c r="Q7" s="57"/>
      <c r="R7" s="57"/>
      <c r="S7" s="57"/>
      <c r="T7" s="57"/>
      <c r="U7" s="57"/>
      <c r="V7" s="57"/>
      <c r="W7" s="57"/>
      <c r="X7" s="57"/>
    </row>
    <row r="8" spans="1:24" ht="18">
      <c r="A8" s="2" t="s">
        <v>2</v>
      </c>
      <c r="B8" s="42">
        <v>4020</v>
      </c>
      <c r="C8" s="44">
        <v>640</v>
      </c>
      <c r="D8" s="75">
        <v>1231</v>
      </c>
      <c r="E8" s="44">
        <f>'6.2. Інша інфо_2'!T57</f>
        <v>3635</v>
      </c>
      <c r="F8" s="44">
        <f t="shared" ref="F8" si="0">E8-D8</f>
        <v>2404</v>
      </c>
      <c r="G8" s="52">
        <f t="shared" ref="G8" si="1">E8/D8*100</f>
        <v>295.28838342810724</v>
      </c>
      <c r="N8" s="38"/>
    </row>
    <row r="9" spans="1:24">
      <c r="A9" s="2" t="s">
        <v>30</v>
      </c>
      <c r="B9" s="22">
        <v>4030</v>
      </c>
      <c r="C9" s="25"/>
      <c r="D9" s="68"/>
      <c r="E9" s="25"/>
      <c r="F9" s="25"/>
      <c r="G9" s="26"/>
      <c r="M9" s="38"/>
    </row>
    <row r="10" spans="1:24">
      <c r="A10" s="2" t="s">
        <v>3</v>
      </c>
      <c r="B10" s="42">
        <v>4040</v>
      </c>
      <c r="C10" s="44"/>
      <c r="D10" s="56"/>
      <c r="E10" s="44"/>
      <c r="F10" s="44"/>
      <c r="G10" s="52"/>
    </row>
    <row r="11" spans="1:24" ht="31">
      <c r="A11" s="2" t="s">
        <v>71</v>
      </c>
      <c r="B11" s="22">
        <v>4050</v>
      </c>
      <c r="C11" s="25"/>
      <c r="D11" s="68"/>
      <c r="E11" s="25"/>
      <c r="F11" s="25"/>
      <c r="G11" s="26"/>
    </row>
    <row r="12" spans="1:24" ht="20.149999999999999" customHeight="1">
      <c r="B12" s="7"/>
      <c r="C12" s="7"/>
      <c r="D12" s="57"/>
      <c r="E12" s="7"/>
      <c r="F12" s="7"/>
      <c r="G12" s="7"/>
    </row>
    <row r="13" spans="1:24" ht="20.149999999999999" customHeight="1">
      <c r="A13" s="3"/>
      <c r="B13" s="3"/>
      <c r="C13" s="3"/>
      <c r="D13" s="46"/>
      <c r="E13" s="3"/>
      <c r="F13" s="3"/>
      <c r="G13" s="3"/>
    </row>
    <row r="14" spans="1:24">
      <c r="A14" s="5"/>
      <c r="B14" s="3"/>
      <c r="C14" s="3"/>
      <c r="D14" s="46"/>
      <c r="E14" s="3"/>
      <c r="F14" s="3"/>
      <c r="G14" s="3"/>
    </row>
    <row r="15" spans="1:24" ht="30.5">
      <c r="A15" s="34" t="s">
        <v>522</v>
      </c>
      <c r="B15" s="35"/>
      <c r="C15" s="3"/>
      <c r="D15" s="3"/>
      <c r="E15" s="3"/>
      <c r="F15" s="3" t="s">
        <v>521</v>
      </c>
      <c r="G15" s="3"/>
    </row>
    <row r="16" spans="1:24" ht="21" customHeight="1">
      <c r="A16" s="18" t="s">
        <v>370</v>
      </c>
      <c r="B16" s="3"/>
      <c r="C16" s="284" t="s">
        <v>79</v>
      </c>
      <c r="D16" s="284"/>
      <c r="E16" s="3"/>
      <c r="F16" s="284" t="s">
        <v>351</v>
      </c>
      <c r="G16" s="284"/>
    </row>
    <row r="17" spans="1:8">
      <c r="A17" s="9"/>
      <c r="B17" s="5"/>
      <c r="C17" s="5"/>
      <c r="D17" s="58"/>
      <c r="E17" s="5"/>
      <c r="F17" s="5"/>
      <c r="G17" s="5"/>
    </row>
    <row r="18" spans="1:8">
      <c r="A18" s="9"/>
      <c r="B18" s="5"/>
      <c r="C18" s="5"/>
      <c r="D18" s="58"/>
      <c r="E18" s="5"/>
      <c r="F18" s="5"/>
      <c r="G18" s="5"/>
    </row>
    <row r="19" spans="1:8">
      <c r="A19" s="283"/>
      <c r="B19" s="283"/>
      <c r="C19" s="283"/>
      <c r="D19" s="283"/>
      <c r="E19" s="283"/>
      <c r="F19" s="283"/>
      <c r="G19" s="283"/>
      <c r="H19" s="283"/>
    </row>
    <row r="20" spans="1:8">
      <c r="A20" s="36"/>
    </row>
    <row r="21" spans="1:8">
      <c r="A21" s="36"/>
    </row>
    <row r="22" spans="1:8">
      <c r="A22" s="36"/>
    </row>
    <row r="23" spans="1:8">
      <c r="A23" s="36"/>
    </row>
    <row r="24" spans="1:8">
      <c r="A24" s="36"/>
    </row>
    <row r="25" spans="1:8">
      <c r="A25" s="36"/>
    </row>
    <row r="26" spans="1:8">
      <c r="A26" s="36"/>
    </row>
    <row r="27" spans="1:8">
      <c r="A27" s="36"/>
    </row>
    <row r="28" spans="1:8">
      <c r="A28" s="36"/>
    </row>
    <row r="29" spans="1:8">
      <c r="A29" s="36"/>
    </row>
    <row r="30" spans="1:8">
      <c r="A30" s="36"/>
    </row>
    <row r="31" spans="1:8">
      <c r="A31" s="36"/>
    </row>
    <row r="32" spans="1:8">
      <c r="A32" s="36"/>
    </row>
    <row r="33" spans="1:1">
      <c r="A33" s="36"/>
    </row>
    <row r="34" spans="1:1">
      <c r="A34" s="36"/>
    </row>
    <row r="35" spans="1:1">
      <c r="A35" s="36"/>
    </row>
    <row r="36" spans="1:1">
      <c r="A36" s="36"/>
    </row>
    <row r="37" spans="1:1">
      <c r="A37" s="36"/>
    </row>
    <row r="38" spans="1:1">
      <c r="A38" s="36"/>
    </row>
    <row r="39" spans="1:1">
      <c r="A39" s="36"/>
    </row>
    <row r="40" spans="1:1">
      <c r="A40" s="36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  <row r="64" spans="1:1">
      <c r="A64" s="36"/>
    </row>
    <row r="65" spans="1:1">
      <c r="A65" s="36"/>
    </row>
    <row r="66" spans="1:1">
      <c r="A66" s="36"/>
    </row>
    <row r="67" spans="1:1">
      <c r="A67" s="36"/>
    </row>
    <row r="68" spans="1:1">
      <c r="A68" s="36"/>
    </row>
    <row r="69" spans="1:1">
      <c r="A69" s="36"/>
    </row>
    <row r="70" spans="1:1">
      <c r="A70" s="36"/>
    </row>
    <row r="71" spans="1:1">
      <c r="A71" s="36"/>
    </row>
    <row r="72" spans="1:1">
      <c r="A72" s="36"/>
    </row>
    <row r="73" spans="1:1">
      <c r="A73" s="36"/>
    </row>
    <row r="74" spans="1: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</sheetData>
  <sheetProtection formatCells="0" formatColumns="0" formatRows="0" insertRows="0" deleteRows="0"/>
  <mergeCells count="9">
    <mergeCell ref="A19:H19"/>
    <mergeCell ref="F16:G16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1.1811023622047243" right="0.39370078740157483" top="0.78740157480314965" bottom="0.78740157480314965" header="0" footer="0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indexed="43"/>
    <pageSetUpPr fitToPage="1"/>
  </sheetPr>
  <dimension ref="A1:I27"/>
  <sheetViews>
    <sheetView view="pageBreakPreview" zoomScale="75" zoomScaleNormal="75" zoomScaleSheetLayoutView="70" workbookViewId="0">
      <selection activeCell="E9" sqref="E9:E20"/>
    </sheetView>
  </sheetViews>
  <sheetFormatPr defaultColWidth="9.1796875" defaultRowHeight="15.5"/>
  <cols>
    <col min="1" max="1" width="66" style="7" customWidth="1"/>
    <col min="2" max="2" width="16.54296875" style="7" customWidth="1"/>
    <col min="3" max="3" width="19.7265625" style="7" customWidth="1"/>
    <col min="4" max="4" width="20" style="7" customWidth="1"/>
    <col min="5" max="5" width="19.7265625" style="7" customWidth="1"/>
    <col min="6" max="6" width="39" style="7" customWidth="1"/>
    <col min="7" max="7" width="9.54296875" style="7" customWidth="1"/>
    <col min="8" max="8" width="9.1796875" style="7"/>
    <col min="9" max="9" width="27.1796875" style="7" customWidth="1"/>
    <col min="10" max="16384" width="9.1796875" style="7"/>
  </cols>
  <sheetData>
    <row r="1" spans="1:6">
      <c r="A1" s="322" t="s">
        <v>361</v>
      </c>
      <c r="B1" s="322"/>
      <c r="C1" s="322"/>
      <c r="D1" s="322"/>
      <c r="E1" s="322"/>
      <c r="F1" s="322"/>
    </row>
    <row r="3" spans="1:6">
      <c r="A3" s="323" t="s">
        <v>283</v>
      </c>
      <c r="B3" s="323" t="s">
        <v>0</v>
      </c>
      <c r="C3" s="323" t="s">
        <v>101</v>
      </c>
      <c r="D3" s="316" t="s">
        <v>346</v>
      </c>
      <c r="E3" s="325" t="s">
        <v>344</v>
      </c>
      <c r="F3" s="323" t="s">
        <v>316</v>
      </c>
    </row>
    <row r="4" spans="1:6">
      <c r="A4" s="324"/>
      <c r="B4" s="324"/>
      <c r="C4" s="324"/>
      <c r="D4" s="316"/>
      <c r="E4" s="326"/>
      <c r="F4" s="324"/>
    </row>
    <row r="5" spans="1:6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</row>
    <row r="6" spans="1:6" s="32" customFormat="1" ht="15">
      <c r="A6" s="29" t="s">
        <v>187</v>
      </c>
      <c r="B6" s="163"/>
      <c r="C6" s="164"/>
      <c r="D6" s="168"/>
      <c r="E6" s="168"/>
      <c r="F6" s="169"/>
    </row>
    <row r="7" spans="1:6" ht="46.5">
      <c r="A7" s="2" t="s">
        <v>340</v>
      </c>
      <c r="B7" s="23">
        <v>5000</v>
      </c>
      <c r="C7" s="61" t="s">
        <v>332</v>
      </c>
      <c r="D7" s="67">
        <f>'фінплан - зведені показники'!C33/'фінплан - зведені показники'!C31</f>
        <v>0.22016644886168238</v>
      </c>
      <c r="E7" s="67">
        <f>'фінплан - зведені показники'!E33/'фінплан - зведені показники'!E31</f>
        <v>-0.36768411290124009</v>
      </c>
      <c r="F7" s="62">
        <f>'фінплан - зведені показники'!C33</f>
        <v>6402</v>
      </c>
    </row>
    <row r="8" spans="1:6" ht="46.5">
      <c r="A8" s="2" t="s">
        <v>341</v>
      </c>
      <c r="B8" s="23">
        <v>5010</v>
      </c>
      <c r="C8" s="61" t="s">
        <v>332</v>
      </c>
      <c r="D8" s="67">
        <f>'фінплан - зведені показники'!C38/'фінплан - зведені показники'!C31</f>
        <v>-1.7573423206547905E-2</v>
      </c>
      <c r="E8" s="67">
        <f>'фінплан - зведені показники'!E38/'фінплан - зведені показники'!E31</f>
        <v>2.6050344301179449E-2</v>
      </c>
      <c r="F8" s="62"/>
    </row>
    <row r="9" spans="1:6" ht="46.5">
      <c r="A9" s="2" t="s">
        <v>372</v>
      </c>
      <c r="B9" s="23">
        <v>5020</v>
      </c>
      <c r="C9" s="61" t="s">
        <v>332</v>
      </c>
      <c r="D9" s="183">
        <f>'фінплан - зведені показники'!C44/'фінплан - зведені показники'!C70</f>
        <v>7.9453360877165108E-4</v>
      </c>
      <c r="E9" s="185">
        <f>'фінплан - зведені показники'!E44/'фінплан - зведені показники'!E70</f>
        <v>1.6368865010217261E-2</v>
      </c>
      <c r="F9" s="62" t="s">
        <v>333</v>
      </c>
    </row>
    <row r="10" spans="1:6" ht="46.5">
      <c r="A10" s="2" t="s">
        <v>322</v>
      </c>
      <c r="B10" s="23">
        <v>5030</v>
      </c>
      <c r="C10" s="61" t="s">
        <v>332</v>
      </c>
      <c r="D10" s="183">
        <f>'фінплан - зведені показники'!C44/'фінплан - зведені показники'!C76</f>
        <v>1.0094891984655764E-3</v>
      </c>
      <c r="E10" s="185">
        <f>'фінплан - зведені показники'!E44/'фінплан - зведені показники'!E76</f>
        <v>2.9725801763395125E-2</v>
      </c>
      <c r="F10" s="62"/>
    </row>
    <row r="11" spans="1:6" ht="46.5">
      <c r="A11" s="2" t="s">
        <v>323</v>
      </c>
      <c r="B11" s="23">
        <v>5040</v>
      </c>
      <c r="C11" s="61" t="s">
        <v>102</v>
      </c>
      <c r="D11" s="183">
        <f>'фінплан - зведені показники'!C44/'фінплан - зведені показники'!C31</f>
        <v>3.4390260678175943E-4</v>
      </c>
      <c r="E11" s="185">
        <f>'фінплан - зведені показники'!E44/'фінплан - зведені показники'!E31</f>
        <v>1.2590179003783664E-2</v>
      </c>
      <c r="F11" s="62" t="s">
        <v>334</v>
      </c>
    </row>
    <row r="12" spans="1:6" ht="46.5">
      <c r="A12" s="2" t="s">
        <v>328</v>
      </c>
      <c r="B12" s="23">
        <v>5100</v>
      </c>
      <c r="C12" s="61"/>
      <c r="D12" s="183">
        <f>'фінплан - зведені показники'!C73/'фінплан - зведені показники'!C38</f>
        <v>-5.244618395303327</v>
      </c>
      <c r="E12" s="185">
        <f>'фінплан - зведені показники'!E73/'фінплан - зведені показники'!E38</f>
        <v>13.267013232514154</v>
      </c>
      <c r="F12" s="62"/>
    </row>
    <row r="13" spans="1:6" ht="62">
      <c r="A13" s="2" t="s">
        <v>324</v>
      </c>
      <c r="B13" s="23">
        <v>5110</v>
      </c>
      <c r="C13" s="61" t="s">
        <v>174</v>
      </c>
      <c r="D13" s="183">
        <f>'фінплан - зведені показники'!C76/'фінплан - зведені показники'!C73</f>
        <v>3.696268656716418</v>
      </c>
      <c r="E13" s="185">
        <f>'фінплан - зведені показники'!E76/'фінплан - зведені показники'!E73</f>
        <v>1.2254954345219014</v>
      </c>
      <c r="F13" s="62" t="s">
        <v>335</v>
      </c>
    </row>
    <row r="14" spans="1:6" ht="93">
      <c r="A14" s="2" t="s">
        <v>325</v>
      </c>
      <c r="B14" s="23">
        <v>5120</v>
      </c>
      <c r="C14" s="61" t="s">
        <v>174</v>
      </c>
      <c r="D14" s="183">
        <f>'фінплан - зведені показники'!C68/'фінплан - зведені показники'!C72</f>
        <v>4.0852183061546556</v>
      </c>
      <c r="E14" s="185">
        <f>'фінплан - зведені показники'!E68/'фінплан - зведені показники'!E72</f>
        <v>3.7931274900398404</v>
      </c>
      <c r="F14" s="62" t="s">
        <v>337</v>
      </c>
    </row>
    <row r="15" spans="1:6" s="32" customFormat="1">
      <c r="A15" s="29" t="s">
        <v>188</v>
      </c>
      <c r="B15" s="163"/>
      <c r="C15" s="164"/>
      <c r="D15" s="184"/>
      <c r="E15" s="185"/>
      <c r="F15" s="169"/>
    </row>
    <row r="16" spans="1:6" ht="31">
      <c r="A16" s="2" t="s">
        <v>326</v>
      </c>
      <c r="B16" s="23">
        <v>5200</v>
      </c>
      <c r="C16" s="61"/>
      <c r="D16" s="185">
        <f>'4. Кап. інвестиції'!C6/'1. Фін результат'!C141</f>
        <v>0.73647871116225549</v>
      </c>
      <c r="E16" s="185">
        <f>'4. Кап. інвестиції'!E6/'1. Фін результат'!E141</f>
        <v>2.9942339373970346</v>
      </c>
      <c r="F16" s="62"/>
    </row>
    <row r="17" spans="1:9" ht="46.5">
      <c r="A17" s="2" t="s">
        <v>352</v>
      </c>
      <c r="B17" s="23">
        <v>5210</v>
      </c>
      <c r="C17" s="61"/>
      <c r="D17" s="185">
        <f>'4. Кап. інвестиції'!C6/'1. Фін результат'!C9</f>
        <v>2.2009766834032603E-2</v>
      </c>
      <c r="E17" s="185">
        <f>'4. Кап. інвестиції'!E6/'1. Фін результат'!E9</f>
        <v>0.14916981968302953</v>
      </c>
      <c r="F17" s="62"/>
    </row>
    <row r="18" spans="1:9" ht="46.5">
      <c r="A18" s="2" t="s">
        <v>342</v>
      </c>
      <c r="B18" s="23">
        <v>5220</v>
      </c>
      <c r="C18" s="61" t="s">
        <v>332</v>
      </c>
      <c r="D18" s="183">
        <v>0.5</v>
      </c>
      <c r="E18" s="185">
        <f>2597.1/9890.1</f>
        <v>0.2625959292625959</v>
      </c>
      <c r="F18" s="62" t="s">
        <v>336</v>
      </c>
    </row>
    <row r="19" spans="1:9" s="32" customFormat="1">
      <c r="A19" s="29" t="s">
        <v>327</v>
      </c>
      <c r="B19" s="163"/>
      <c r="C19" s="164"/>
      <c r="D19" s="184"/>
      <c r="E19" s="185"/>
      <c r="F19" s="169"/>
    </row>
    <row r="20" spans="1:9" ht="62">
      <c r="A20" s="2" t="s">
        <v>343</v>
      </c>
      <c r="B20" s="23">
        <v>5300</v>
      </c>
      <c r="C20" s="61"/>
      <c r="D20" s="183"/>
      <c r="E20" s="185"/>
      <c r="F20" s="62"/>
    </row>
    <row r="21" spans="1:9">
      <c r="A21" s="3"/>
      <c r="B21" s="3"/>
      <c r="C21" s="3"/>
      <c r="D21" s="3"/>
      <c r="E21" s="3"/>
      <c r="F21" s="3"/>
    </row>
    <row r="22" spans="1:9" ht="30.5">
      <c r="A22" s="34" t="s">
        <v>522</v>
      </c>
      <c r="B22" s="35"/>
      <c r="C22" s="3"/>
      <c r="D22" s="3"/>
      <c r="E22" s="3"/>
      <c r="F22" s="3" t="s">
        <v>521</v>
      </c>
      <c r="G22" s="3"/>
    </row>
    <row r="23" spans="1:9">
      <c r="A23" s="18" t="s">
        <v>371</v>
      </c>
      <c r="B23" s="284" t="s">
        <v>79</v>
      </c>
      <c r="C23" s="284"/>
      <c r="D23" s="284"/>
      <c r="E23" s="284" t="s">
        <v>320</v>
      </c>
      <c r="F23" s="284"/>
    </row>
    <row r="24" spans="1:9">
      <c r="A24" s="3"/>
      <c r="B24" s="3"/>
      <c r="C24" s="3"/>
      <c r="D24" s="3"/>
      <c r="E24" s="3"/>
      <c r="F24" s="3"/>
    </row>
    <row r="25" spans="1:9">
      <c r="A25" s="3"/>
      <c r="B25" s="3"/>
      <c r="C25" s="3"/>
      <c r="D25" s="3"/>
      <c r="E25" s="3"/>
      <c r="F25" s="3"/>
      <c r="I25" s="63"/>
    </row>
    <row r="26" spans="1:9">
      <c r="A26" s="283"/>
      <c r="B26" s="283"/>
      <c r="C26" s="283"/>
      <c r="D26" s="283"/>
      <c r="E26" s="283"/>
      <c r="F26" s="283"/>
      <c r="G26" s="283"/>
      <c r="H26" s="283"/>
    </row>
    <row r="27" spans="1:9">
      <c r="A27" s="20"/>
      <c r="C27" s="321"/>
      <c r="D27" s="321"/>
      <c r="F27" s="37"/>
    </row>
  </sheetData>
  <sheetProtection formatCells="0"/>
  <mergeCells count="11">
    <mergeCell ref="C27:D27"/>
    <mergeCell ref="B23:D23"/>
    <mergeCell ref="E23:F23"/>
    <mergeCell ref="A26:H26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1.1811023622047243" right="0.39370078740157483" top="0.78740157480314965" bottom="0.78740157480314965" header="0" footer="0"/>
  <pageSetup paperSize="9" scale="4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>
    <tabColor indexed="43"/>
  </sheetPr>
  <dimension ref="A1:Q94"/>
  <sheetViews>
    <sheetView tabSelected="1" view="pageBreakPreview" topLeftCell="A7" zoomScale="70" zoomScaleNormal="75" zoomScaleSheetLayoutView="70" workbookViewId="0">
      <selection activeCell="J14" sqref="J14:K16"/>
    </sheetView>
  </sheetViews>
  <sheetFormatPr defaultColWidth="9.1796875" defaultRowHeight="15.5" outlineLevelRow="1"/>
  <cols>
    <col min="1" max="1" width="44.81640625" style="7" customWidth="1"/>
    <col min="2" max="2" width="13.54296875" style="37" customWidth="1"/>
    <col min="3" max="3" width="18.54296875" style="7" customWidth="1"/>
    <col min="4" max="4" width="16.1796875" style="7" customWidth="1"/>
    <col min="5" max="5" width="12.54296875" style="7" customWidth="1"/>
    <col min="6" max="6" width="16.54296875" style="7" customWidth="1"/>
    <col min="7" max="7" width="15.26953125" style="7" customWidth="1"/>
    <col min="8" max="8" width="16.54296875" style="7" customWidth="1"/>
    <col min="9" max="9" width="16.1796875" style="7" customWidth="1"/>
    <col min="10" max="10" width="16.453125" style="7" customWidth="1"/>
    <col min="11" max="11" width="16.54296875" style="7" customWidth="1"/>
    <col min="12" max="12" width="20.81640625" style="7" customWidth="1"/>
    <col min="13" max="13" width="14.453125" style="7" customWidth="1"/>
    <col min="14" max="15" width="16.7265625" style="7" customWidth="1"/>
    <col min="16" max="16" width="9.1796875" style="7"/>
    <col min="17" max="17" width="18.1796875" style="7" customWidth="1"/>
    <col min="18" max="18" width="8.54296875" style="7" customWidth="1"/>
    <col min="19" max="16384" width="9.1796875" style="7"/>
  </cols>
  <sheetData>
    <row r="1" spans="1:15" outlineLevel="1">
      <c r="N1" s="355" t="s">
        <v>237</v>
      </c>
      <c r="O1" s="355"/>
    </row>
    <row r="2" spans="1:15" outlineLevel="1">
      <c r="N2" s="355" t="s">
        <v>257</v>
      </c>
      <c r="O2" s="355"/>
    </row>
    <row r="3" spans="1:15">
      <c r="A3" s="281" t="s">
        <v>581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>
      <c r="A5" s="284" t="s">
        <v>482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>
      <c r="A6" s="284" t="s">
        <v>133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</row>
    <row r="7" spans="1:15">
      <c r="A7" s="281" t="s">
        <v>362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1: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</row>
    <row r="10" spans="1:15">
      <c r="B10" s="7"/>
    </row>
    <row r="11" spans="1:15">
      <c r="A11" s="23" t="s">
        <v>283</v>
      </c>
      <c r="B11" s="316" t="s">
        <v>135</v>
      </c>
      <c r="C11" s="316"/>
      <c r="D11" s="316" t="s">
        <v>31</v>
      </c>
      <c r="E11" s="316"/>
      <c r="F11" s="316" t="s">
        <v>317</v>
      </c>
      <c r="G11" s="316"/>
      <c r="H11" s="316" t="s">
        <v>318</v>
      </c>
      <c r="I11" s="316"/>
      <c r="J11" s="316" t="s">
        <v>319</v>
      </c>
      <c r="K11" s="316"/>
      <c r="L11" s="316" t="s">
        <v>288</v>
      </c>
      <c r="M11" s="316"/>
      <c r="N11" s="316" t="s">
        <v>289</v>
      </c>
      <c r="O11" s="316"/>
    </row>
    <row r="12" spans="1:15">
      <c r="A12" s="23">
        <v>1</v>
      </c>
      <c r="B12" s="327">
        <v>2</v>
      </c>
      <c r="C12" s="328"/>
      <c r="D12" s="327">
        <v>3</v>
      </c>
      <c r="E12" s="328"/>
      <c r="F12" s="327">
        <v>4</v>
      </c>
      <c r="G12" s="328"/>
      <c r="H12" s="327">
        <v>5</v>
      </c>
      <c r="I12" s="328"/>
      <c r="J12" s="327">
        <v>6</v>
      </c>
      <c r="K12" s="328"/>
      <c r="L12" s="327">
        <v>7</v>
      </c>
      <c r="M12" s="328"/>
      <c r="N12" s="316">
        <v>8</v>
      </c>
      <c r="O12" s="316"/>
    </row>
    <row r="13" spans="1:15">
      <c r="A13" s="290" t="s">
        <v>134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2"/>
    </row>
    <row r="14" spans="1:15">
      <c r="A14" s="2" t="s">
        <v>290</v>
      </c>
      <c r="B14" s="327">
        <v>32</v>
      </c>
      <c r="C14" s="328"/>
      <c r="D14" s="330">
        <v>27</v>
      </c>
      <c r="E14" s="330"/>
      <c r="F14" s="327">
        <v>32</v>
      </c>
      <c r="G14" s="328"/>
      <c r="H14" s="330">
        <f>F14</f>
        <v>32</v>
      </c>
      <c r="I14" s="330"/>
      <c r="J14" s="330">
        <v>26</v>
      </c>
      <c r="K14" s="330"/>
      <c r="L14" s="330">
        <f>J14-H14</f>
        <v>-6</v>
      </c>
      <c r="M14" s="330"/>
      <c r="N14" s="342">
        <f>J14*100/H14</f>
        <v>81.25</v>
      </c>
      <c r="O14" s="342"/>
    </row>
    <row r="15" spans="1:15">
      <c r="A15" s="2" t="s">
        <v>291</v>
      </c>
      <c r="B15" s="327">
        <v>3</v>
      </c>
      <c r="C15" s="328"/>
      <c r="D15" s="330">
        <v>3</v>
      </c>
      <c r="E15" s="330"/>
      <c r="F15" s="327">
        <v>3</v>
      </c>
      <c r="G15" s="328"/>
      <c r="H15" s="330">
        <f t="shared" ref="H15:H19" si="0">F15</f>
        <v>3</v>
      </c>
      <c r="I15" s="330"/>
      <c r="J15" s="330">
        <v>2</v>
      </c>
      <c r="K15" s="330"/>
      <c r="L15" s="330">
        <f t="shared" ref="L15:L18" si="1">J15-H15</f>
        <v>-1</v>
      </c>
      <c r="M15" s="330"/>
      <c r="N15" s="342">
        <f t="shared" ref="N15:N18" si="2">J15*100/H15</f>
        <v>66.666666666666671</v>
      </c>
      <c r="O15" s="342"/>
    </row>
    <row r="16" spans="1:15">
      <c r="A16" s="2" t="s">
        <v>292</v>
      </c>
      <c r="B16" s="327">
        <v>3</v>
      </c>
      <c r="C16" s="328"/>
      <c r="D16" s="330">
        <v>2</v>
      </c>
      <c r="E16" s="330"/>
      <c r="F16" s="327">
        <v>3</v>
      </c>
      <c r="G16" s="328"/>
      <c r="H16" s="330">
        <f t="shared" si="0"/>
        <v>3</v>
      </c>
      <c r="I16" s="330"/>
      <c r="J16" s="330">
        <v>2</v>
      </c>
      <c r="K16" s="330"/>
      <c r="L16" s="330">
        <f t="shared" si="1"/>
        <v>-1</v>
      </c>
      <c r="M16" s="330"/>
      <c r="N16" s="342">
        <f t="shared" si="2"/>
        <v>66.666666666666671</v>
      </c>
      <c r="O16" s="342"/>
    </row>
    <row r="17" spans="1:16">
      <c r="A17" s="2" t="s">
        <v>293</v>
      </c>
      <c r="B17" s="327">
        <v>2</v>
      </c>
      <c r="C17" s="328"/>
      <c r="D17" s="330">
        <v>3</v>
      </c>
      <c r="E17" s="330"/>
      <c r="F17" s="327">
        <v>2</v>
      </c>
      <c r="G17" s="328"/>
      <c r="H17" s="330">
        <f t="shared" si="0"/>
        <v>2</v>
      </c>
      <c r="I17" s="330"/>
      <c r="J17" s="330">
        <v>0</v>
      </c>
      <c r="K17" s="330"/>
      <c r="L17" s="330">
        <f t="shared" si="1"/>
        <v>-2</v>
      </c>
      <c r="M17" s="330"/>
      <c r="N17" s="342">
        <f t="shared" si="2"/>
        <v>0</v>
      </c>
      <c r="O17" s="342"/>
    </row>
    <row r="18" spans="1:16">
      <c r="A18" s="2" t="s">
        <v>294</v>
      </c>
      <c r="B18" s="327">
        <v>190</v>
      </c>
      <c r="C18" s="328"/>
      <c r="D18" s="330">
        <v>109</v>
      </c>
      <c r="E18" s="330"/>
      <c r="F18" s="327">
        <v>197</v>
      </c>
      <c r="G18" s="328"/>
      <c r="H18" s="330">
        <f t="shared" si="0"/>
        <v>197</v>
      </c>
      <c r="I18" s="330"/>
      <c r="J18" s="330">
        <f>142-J14-J15-J16-J17-J19</f>
        <v>105</v>
      </c>
      <c r="K18" s="330"/>
      <c r="L18" s="330">
        <f t="shared" si="1"/>
        <v>-92</v>
      </c>
      <c r="M18" s="330"/>
      <c r="N18" s="342">
        <f t="shared" si="2"/>
        <v>53.299492385786799</v>
      </c>
      <c r="O18" s="342"/>
    </row>
    <row r="19" spans="1:16">
      <c r="A19" s="2" t="s">
        <v>295</v>
      </c>
      <c r="B19" s="316">
        <v>15</v>
      </c>
      <c r="C19" s="316"/>
      <c r="D19" s="330">
        <v>4</v>
      </c>
      <c r="E19" s="330"/>
      <c r="F19" s="330">
        <v>15</v>
      </c>
      <c r="G19" s="330"/>
      <c r="H19" s="330">
        <f t="shared" si="0"/>
        <v>15</v>
      </c>
      <c r="I19" s="330"/>
      <c r="J19" s="330">
        <v>7</v>
      </c>
      <c r="K19" s="330"/>
      <c r="L19" s="330">
        <f t="shared" ref="L19" si="3">J19-H19</f>
        <v>-8</v>
      </c>
      <c r="M19" s="330"/>
      <c r="N19" s="342">
        <f t="shared" ref="N19" si="4">J19*100/H19</f>
        <v>46.666666666666664</v>
      </c>
      <c r="O19" s="342"/>
    </row>
    <row r="20" spans="1:16">
      <c r="A20" s="290" t="s">
        <v>353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2"/>
    </row>
    <row r="21" spans="1:16">
      <c r="A21" s="2" t="s">
        <v>297</v>
      </c>
      <c r="B21" s="316">
        <v>519</v>
      </c>
      <c r="C21" s="316"/>
      <c r="D21" s="330">
        <v>499</v>
      </c>
      <c r="E21" s="330"/>
      <c r="F21" s="316">
        <v>519</v>
      </c>
      <c r="G21" s="316"/>
      <c r="H21" s="330">
        <f>F21</f>
        <v>519</v>
      </c>
      <c r="I21" s="330"/>
      <c r="J21" s="330">
        <v>229</v>
      </c>
      <c r="K21" s="330"/>
      <c r="L21" s="330">
        <f t="shared" ref="L21:L23" si="5">J21-H21</f>
        <v>-290</v>
      </c>
      <c r="M21" s="330"/>
      <c r="N21" s="342">
        <f t="shared" ref="N21:N23" si="6">J21*100/H21</f>
        <v>44.123314065510598</v>
      </c>
      <c r="O21" s="342"/>
      <c r="P21" s="7" t="s">
        <v>588</v>
      </c>
    </row>
    <row r="22" spans="1:16">
      <c r="A22" s="2" t="s">
        <v>296</v>
      </c>
      <c r="B22" s="316">
        <v>4148</v>
      </c>
      <c r="C22" s="316"/>
      <c r="D22" s="330">
        <v>3509</v>
      </c>
      <c r="E22" s="330"/>
      <c r="F22" s="316">
        <v>4552</v>
      </c>
      <c r="G22" s="316"/>
      <c r="H22" s="330">
        <f>F22</f>
        <v>4552</v>
      </c>
      <c r="I22" s="330"/>
      <c r="J22" s="330">
        <f>'1. Фін результат'!E139-'6.1. Інша інфо_1'!J21:K21-J23</f>
        <v>8647</v>
      </c>
      <c r="K22" s="330"/>
      <c r="L22" s="330">
        <f t="shared" si="5"/>
        <v>4095</v>
      </c>
      <c r="M22" s="330"/>
      <c r="N22" s="342">
        <f t="shared" si="6"/>
        <v>189.9604569420035</v>
      </c>
      <c r="O22" s="342"/>
    </row>
    <row r="23" spans="1:16">
      <c r="A23" s="2" t="s">
        <v>298</v>
      </c>
      <c r="B23" s="316">
        <v>25927</v>
      </c>
      <c r="C23" s="316"/>
      <c r="D23" s="330">
        <v>15399</v>
      </c>
      <c r="E23" s="330"/>
      <c r="F23" s="316">
        <v>29393</v>
      </c>
      <c r="G23" s="316"/>
      <c r="H23" s="330">
        <f>F23</f>
        <v>29393</v>
      </c>
      <c r="I23" s="330"/>
      <c r="J23" s="330">
        <v>14864</v>
      </c>
      <c r="K23" s="330"/>
      <c r="L23" s="330">
        <f t="shared" si="5"/>
        <v>-14529</v>
      </c>
      <c r="M23" s="330"/>
      <c r="N23" s="342">
        <f t="shared" si="6"/>
        <v>50.569863572959548</v>
      </c>
      <c r="O23" s="342"/>
    </row>
    <row r="24" spans="1:16">
      <c r="A24" s="290" t="s">
        <v>481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2"/>
    </row>
    <row r="25" spans="1:16">
      <c r="A25" s="2" t="s">
        <v>297</v>
      </c>
      <c r="B25" s="316">
        <v>633</v>
      </c>
      <c r="C25" s="316"/>
      <c r="D25" s="330">
        <v>608.78</v>
      </c>
      <c r="E25" s="330"/>
      <c r="F25" s="330">
        <v>633</v>
      </c>
      <c r="G25" s="330"/>
      <c r="H25" s="330">
        <f>F25</f>
        <v>633</v>
      </c>
      <c r="I25" s="330"/>
      <c r="J25" s="330">
        <f>J21/100*122</f>
        <v>279.38</v>
      </c>
      <c r="K25" s="330"/>
      <c r="L25" s="330">
        <f t="shared" ref="L25:L27" si="7">J25-H25</f>
        <v>-353.62</v>
      </c>
      <c r="M25" s="330"/>
      <c r="N25" s="342">
        <f t="shared" ref="N25:N27" si="8">J25*100/H25</f>
        <v>44.135860979462876</v>
      </c>
      <c r="O25" s="342"/>
    </row>
    <row r="26" spans="1:16">
      <c r="A26" s="2" t="s">
        <v>296</v>
      </c>
      <c r="B26" s="316">
        <v>5061</v>
      </c>
      <c r="C26" s="316"/>
      <c r="D26" s="330">
        <v>4318.22</v>
      </c>
      <c r="E26" s="330"/>
      <c r="F26" s="330">
        <v>5553</v>
      </c>
      <c r="G26" s="330"/>
      <c r="H26" s="330">
        <f>F26</f>
        <v>5553</v>
      </c>
      <c r="I26" s="330"/>
      <c r="J26" s="330">
        <f>J22/100*122</f>
        <v>10549.34</v>
      </c>
      <c r="K26" s="330"/>
      <c r="L26" s="330">
        <f t="shared" si="7"/>
        <v>4996.34</v>
      </c>
      <c r="M26" s="330"/>
      <c r="N26" s="342">
        <f t="shared" si="8"/>
        <v>189.97550873401764</v>
      </c>
      <c r="O26" s="342"/>
    </row>
    <row r="27" spans="1:16">
      <c r="A27" s="2" t="s">
        <v>298</v>
      </c>
      <c r="B27" s="316">
        <v>31472</v>
      </c>
      <c r="C27" s="316"/>
      <c r="D27" s="330">
        <v>18770</v>
      </c>
      <c r="E27" s="330"/>
      <c r="F27" s="330">
        <v>35687</v>
      </c>
      <c r="G27" s="330"/>
      <c r="H27" s="330">
        <f>F27</f>
        <v>35687</v>
      </c>
      <c r="I27" s="330"/>
      <c r="J27" s="330">
        <f>'1. Фін результат'!E139+'1. Фін результат'!E140-'6.1. Інша інфо_1'!J25:K25-'6.1. Інша інфо_1'!J26:K26</f>
        <v>18039.28</v>
      </c>
      <c r="K27" s="330"/>
      <c r="L27" s="330">
        <f t="shared" si="7"/>
        <v>-17647.72</v>
      </c>
      <c r="M27" s="330"/>
      <c r="N27" s="342">
        <f t="shared" si="8"/>
        <v>50.548603132793453</v>
      </c>
      <c r="O27" s="342"/>
    </row>
    <row r="28" spans="1:16">
      <c r="A28" s="290" t="s">
        <v>299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2"/>
    </row>
    <row r="29" spans="1:16">
      <c r="A29" s="2" t="s">
        <v>297</v>
      </c>
      <c r="B29" s="316">
        <v>43225</v>
      </c>
      <c r="C29" s="316"/>
      <c r="D29" s="330">
        <v>41583.333333333336</v>
      </c>
      <c r="E29" s="330"/>
      <c r="F29" s="330">
        <v>43225</v>
      </c>
      <c r="G29" s="330"/>
      <c r="H29" s="330">
        <f>F29</f>
        <v>43225</v>
      </c>
      <c r="I29" s="330"/>
      <c r="J29" s="330">
        <f>J21/12*1000</f>
        <v>19083.333333333332</v>
      </c>
      <c r="K29" s="330"/>
      <c r="L29" s="330">
        <f t="shared" ref="L29:L31" si="9">J29-H29</f>
        <v>-24141.666666666668</v>
      </c>
      <c r="M29" s="330"/>
      <c r="N29" s="342">
        <f t="shared" ref="N29:N31" si="10">J29*100/H29</f>
        <v>44.148833622517834</v>
      </c>
      <c r="O29" s="342"/>
    </row>
    <row r="30" spans="1:16">
      <c r="A30" s="2" t="s">
        <v>296</v>
      </c>
      <c r="B30" s="316">
        <v>26592</v>
      </c>
      <c r="C30" s="316"/>
      <c r="D30" s="330">
        <v>26583.333333333332</v>
      </c>
      <c r="E30" s="330"/>
      <c r="F30" s="330">
        <v>30344</v>
      </c>
      <c r="G30" s="330"/>
      <c r="H30" s="330">
        <f>F30</f>
        <v>30344</v>
      </c>
      <c r="I30" s="330"/>
      <c r="J30" s="330">
        <f>J22/12*1000/(J14+J15+J16-1)</f>
        <v>24847.701149425287</v>
      </c>
      <c r="K30" s="330"/>
      <c r="L30" s="330">
        <f t="shared" si="9"/>
        <v>-5496.2988505747126</v>
      </c>
      <c r="M30" s="330"/>
      <c r="N30" s="342">
        <f t="shared" si="10"/>
        <v>81.886702970687082</v>
      </c>
      <c r="O30" s="342"/>
    </row>
    <row r="31" spans="1:16">
      <c r="A31" s="2" t="s">
        <v>298</v>
      </c>
      <c r="B31" s="316">
        <v>9070</v>
      </c>
      <c r="C31" s="316"/>
      <c r="D31" s="330">
        <v>9435.6617647058829</v>
      </c>
      <c r="E31" s="330"/>
      <c r="F31" s="330">
        <v>10249</v>
      </c>
      <c r="G31" s="330"/>
      <c r="H31" s="330">
        <f t="shared" ref="H31" si="11">F31</f>
        <v>10249</v>
      </c>
      <c r="I31" s="330"/>
      <c r="J31" s="330">
        <f>J23/12*1000/(J18+J19)</f>
        <v>11059.523809523811</v>
      </c>
      <c r="K31" s="330"/>
      <c r="L31" s="330">
        <f t="shared" si="9"/>
        <v>810.523809523811</v>
      </c>
      <c r="M31" s="330"/>
      <c r="N31" s="342">
        <f t="shared" si="10"/>
        <v>107.90832090471081</v>
      </c>
      <c r="O31" s="342"/>
    </row>
    <row r="32" spans="1:16">
      <c r="A32" s="290" t="s">
        <v>300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2"/>
    </row>
    <row r="33" spans="1:17">
      <c r="A33" s="2" t="s">
        <v>297</v>
      </c>
      <c r="B33" s="316">
        <v>43225</v>
      </c>
      <c r="C33" s="316"/>
      <c r="D33" s="330">
        <v>41583.333333333336</v>
      </c>
      <c r="E33" s="330"/>
      <c r="F33" s="330">
        <v>43225</v>
      </c>
      <c r="G33" s="330"/>
      <c r="H33" s="330">
        <f>F33</f>
        <v>43225</v>
      </c>
      <c r="I33" s="330"/>
      <c r="J33" s="330">
        <f>J29</f>
        <v>19083.333333333332</v>
      </c>
      <c r="K33" s="330"/>
      <c r="L33" s="330">
        <f t="shared" ref="L33:L35" si="12">J33-H33</f>
        <v>-24141.666666666668</v>
      </c>
      <c r="M33" s="330"/>
      <c r="N33" s="342">
        <f t="shared" ref="N33:N35" si="13">J33*100/H33</f>
        <v>44.148833622517834</v>
      </c>
      <c r="O33" s="342"/>
    </row>
    <row r="34" spans="1:17">
      <c r="A34" s="2" t="s">
        <v>296</v>
      </c>
      <c r="B34" s="316">
        <v>26592</v>
      </c>
      <c r="C34" s="316"/>
      <c r="D34" s="330">
        <v>26583.333333333332</v>
      </c>
      <c r="E34" s="330"/>
      <c r="F34" s="330">
        <v>30344</v>
      </c>
      <c r="G34" s="330"/>
      <c r="H34" s="330">
        <f t="shared" ref="H34" si="14">F34</f>
        <v>30344</v>
      </c>
      <c r="I34" s="330"/>
      <c r="J34" s="330">
        <f t="shared" ref="J34" si="15">J30</f>
        <v>24847.701149425287</v>
      </c>
      <c r="K34" s="330"/>
      <c r="L34" s="330">
        <f t="shared" si="12"/>
        <v>-5496.2988505747126</v>
      </c>
      <c r="M34" s="330"/>
      <c r="N34" s="342">
        <f t="shared" si="13"/>
        <v>81.886702970687082</v>
      </c>
      <c r="O34" s="342"/>
    </row>
    <row r="35" spans="1:17">
      <c r="A35" s="2" t="s">
        <v>298</v>
      </c>
      <c r="B35" s="316">
        <v>9333</v>
      </c>
      <c r="C35" s="316"/>
      <c r="D35" s="330">
        <v>9435.6617647058829</v>
      </c>
      <c r="E35" s="330"/>
      <c r="F35" s="330">
        <v>10249</v>
      </c>
      <c r="G35" s="330"/>
      <c r="H35" s="330">
        <f>F35</f>
        <v>10249</v>
      </c>
      <c r="I35" s="330"/>
      <c r="J35" s="330">
        <f>J31</f>
        <v>11059.523809523811</v>
      </c>
      <c r="K35" s="330"/>
      <c r="L35" s="330">
        <f t="shared" si="12"/>
        <v>810.523809523811</v>
      </c>
      <c r="M35" s="330"/>
      <c r="N35" s="342">
        <f t="shared" si="13"/>
        <v>107.90832090471081</v>
      </c>
      <c r="O35" s="342"/>
    </row>
    <row r="36" spans="1:17">
      <c r="A36" s="190"/>
      <c r="B36" s="190"/>
      <c r="C36" s="190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257"/>
    </row>
    <row r="37" spans="1:17">
      <c r="A37" s="360" t="s">
        <v>339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1:17">
      <c r="A38" s="258"/>
      <c r="B38" s="258"/>
      <c r="C38" s="258"/>
      <c r="D38" s="258"/>
      <c r="E38" s="258"/>
      <c r="F38" s="258"/>
      <c r="G38" s="258"/>
      <c r="H38" s="258"/>
      <c r="I38" s="258"/>
    </row>
    <row r="39" spans="1:17">
      <c r="A39" s="358" t="s">
        <v>354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17">
      <c r="A40" s="259" t="s">
        <v>136</v>
      </c>
      <c r="B40" s="327" t="s">
        <v>355</v>
      </c>
      <c r="C40" s="329"/>
      <c r="D40" s="329"/>
      <c r="E40" s="328"/>
      <c r="F40" s="331" t="s">
        <v>86</v>
      </c>
      <c r="G40" s="331"/>
      <c r="H40" s="331"/>
      <c r="I40" s="331"/>
      <c r="J40" s="331"/>
      <c r="K40" s="331"/>
      <c r="L40" s="331"/>
      <c r="M40" s="331"/>
      <c r="N40" s="331"/>
      <c r="O40" s="331"/>
    </row>
    <row r="41" spans="1:17">
      <c r="A41" s="259">
        <v>1</v>
      </c>
      <c r="B41" s="345">
        <v>2</v>
      </c>
      <c r="C41" s="352"/>
      <c r="D41" s="352"/>
      <c r="E41" s="352"/>
      <c r="F41" s="331">
        <v>3</v>
      </c>
      <c r="G41" s="331"/>
      <c r="H41" s="331"/>
      <c r="I41" s="331"/>
      <c r="J41" s="331"/>
      <c r="K41" s="331"/>
      <c r="L41" s="331"/>
      <c r="M41" s="331"/>
      <c r="N41" s="331"/>
      <c r="O41" s="331"/>
    </row>
    <row r="42" spans="1:17">
      <c r="A42" s="259"/>
      <c r="B42" s="353"/>
      <c r="C42" s="359"/>
      <c r="D42" s="359"/>
      <c r="E42" s="359"/>
      <c r="F42" s="348"/>
      <c r="G42" s="348"/>
      <c r="H42" s="348"/>
      <c r="I42" s="348"/>
      <c r="J42" s="348"/>
      <c r="K42" s="348"/>
      <c r="L42" s="348"/>
      <c r="M42" s="348"/>
      <c r="N42" s="348"/>
      <c r="O42" s="348"/>
    </row>
    <row r="43" spans="1:17" outlineLevel="1">
      <c r="A43" s="37"/>
      <c r="B43" s="261"/>
      <c r="C43" s="261"/>
      <c r="D43" s="261"/>
      <c r="E43" s="261"/>
      <c r="F43" s="262"/>
      <c r="G43" s="262"/>
      <c r="H43" s="262"/>
      <c r="I43" s="262"/>
      <c r="J43" s="262"/>
      <c r="K43" s="262"/>
      <c r="L43" s="262"/>
      <c r="M43" s="361" t="s">
        <v>237</v>
      </c>
      <c r="N43" s="361"/>
      <c r="O43" s="361"/>
    </row>
    <row r="44" spans="1:17" outlineLevel="1">
      <c r="A44" s="37"/>
      <c r="B44" s="261"/>
      <c r="C44" s="261"/>
      <c r="D44" s="261"/>
      <c r="E44" s="261"/>
      <c r="F44" s="262"/>
      <c r="G44" s="262"/>
      <c r="H44" s="262"/>
      <c r="I44" s="262"/>
      <c r="J44" s="262"/>
      <c r="K44" s="262"/>
      <c r="L44" s="262"/>
      <c r="M44" s="362" t="s">
        <v>287</v>
      </c>
      <c r="N44" s="362"/>
      <c r="O44" s="362"/>
    </row>
    <row r="45" spans="1:17">
      <c r="A45" s="282" t="s">
        <v>247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</row>
    <row r="47" spans="1:17">
      <c r="A47" s="332" t="s">
        <v>283</v>
      </c>
      <c r="B47" s="333"/>
      <c r="C47" s="325"/>
      <c r="D47" s="316" t="s">
        <v>238</v>
      </c>
      <c r="E47" s="316"/>
      <c r="F47" s="316"/>
      <c r="G47" s="316" t="s">
        <v>234</v>
      </c>
      <c r="H47" s="316"/>
      <c r="I47" s="316"/>
      <c r="J47" s="316" t="s">
        <v>288</v>
      </c>
      <c r="K47" s="316"/>
      <c r="L47" s="316"/>
      <c r="M47" s="327" t="s">
        <v>289</v>
      </c>
      <c r="N47" s="328"/>
      <c r="O47" s="276" t="s">
        <v>311</v>
      </c>
    </row>
    <row r="48" spans="1:17" ht="128.25" customHeight="1">
      <c r="A48" s="334"/>
      <c r="B48" s="335"/>
      <c r="C48" s="326"/>
      <c r="D48" s="23" t="s">
        <v>314</v>
      </c>
      <c r="E48" s="23" t="s">
        <v>313</v>
      </c>
      <c r="F48" s="23" t="s">
        <v>312</v>
      </c>
      <c r="G48" s="23" t="s">
        <v>314</v>
      </c>
      <c r="H48" s="23" t="s">
        <v>313</v>
      </c>
      <c r="I48" s="23" t="s">
        <v>312</v>
      </c>
      <c r="J48" s="23" t="s">
        <v>314</v>
      </c>
      <c r="K48" s="23" t="s">
        <v>313</v>
      </c>
      <c r="L48" s="23" t="s">
        <v>312</v>
      </c>
      <c r="M48" s="23" t="s">
        <v>239</v>
      </c>
      <c r="N48" s="23" t="s">
        <v>240</v>
      </c>
      <c r="O48" s="277"/>
      <c r="Q48" s="263" t="s">
        <v>463</v>
      </c>
    </row>
    <row r="49" spans="1:15">
      <c r="A49" s="327">
        <v>1</v>
      </c>
      <c r="B49" s="329"/>
      <c r="C49" s="328"/>
      <c r="D49" s="23">
        <v>2</v>
      </c>
      <c r="E49" s="23">
        <v>3</v>
      </c>
      <c r="F49" s="23">
        <v>4</v>
      </c>
      <c r="G49" s="23">
        <v>5</v>
      </c>
      <c r="H49" s="22">
        <v>6</v>
      </c>
      <c r="I49" s="22">
        <v>7</v>
      </c>
      <c r="J49" s="22">
        <v>8</v>
      </c>
      <c r="K49" s="22">
        <v>9</v>
      </c>
      <c r="L49" s="22">
        <v>10</v>
      </c>
      <c r="M49" s="22">
        <v>11</v>
      </c>
      <c r="N49" s="22">
        <v>12</v>
      </c>
      <c r="O49" s="22">
        <v>13</v>
      </c>
    </row>
    <row r="50" spans="1:15">
      <c r="A50" s="336" t="s">
        <v>449</v>
      </c>
      <c r="B50" s="271"/>
      <c r="C50" s="275"/>
      <c r="D50" s="64">
        <f>34340</f>
        <v>34340</v>
      </c>
      <c r="E50" s="64">
        <v>12</v>
      </c>
      <c r="F50" s="109">
        <f>D50/E50*1000</f>
        <v>2861666.6666666665</v>
      </c>
      <c r="G50" s="109">
        <f>ROUND(5021254.05/120*100/1000,0)</f>
        <v>4184</v>
      </c>
      <c r="H50" s="22">
        <v>3</v>
      </c>
      <c r="I50" s="109">
        <f>G50/H50*1000</f>
        <v>1394666.6666666667</v>
      </c>
      <c r="J50" s="264">
        <f t="shared" ref="J50:L53" si="16">G50-D50</f>
        <v>-30156</v>
      </c>
      <c r="K50" s="264">
        <f t="shared" si="16"/>
        <v>-9</v>
      </c>
      <c r="L50" s="264">
        <f t="shared" si="16"/>
        <v>-1466999.9999999998</v>
      </c>
      <c r="M50" s="264">
        <f>G50/D50*100</f>
        <v>12.184041933605124</v>
      </c>
      <c r="N50" s="264">
        <f>H50*100/E50</f>
        <v>25</v>
      </c>
      <c r="O50" s="264">
        <f>I50-F50</f>
        <v>-1466999.9999999998</v>
      </c>
    </row>
    <row r="51" spans="1:15">
      <c r="A51" s="336" t="s">
        <v>450</v>
      </c>
      <c r="B51" s="271"/>
      <c r="C51" s="275"/>
      <c r="D51" s="64">
        <f>1800</f>
        <v>1800</v>
      </c>
      <c r="E51" s="64">
        <v>600</v>
      </c>
      <c r="F51" s="109">
        <f t="shared" ref="F51:F52" si="17">D51/E51*1000</f>
        <v>3000</v>
      </c>
      <c r="G51" s="109">
        <v>2500</v>
      </c>
      <c r="H51" s="22">
        <v>672</v>
      </c>
      <c r="I51" s="109">
        <f t="shared" ref="I51:I53" si="18">G51/H51*1000</f>
        <v>3720.2380952380954</v>
      </c>
      <c r="J51" s="264">
        <f t="shared" si="16"/>
        <v>700</v>
      </c>
      <c r="K51" s="264">
        <f t="shared" si="16"/>
        <v>72</v>
      </c>
      <c r="L51" s="264">
        <f t="shared" si="16"/>
        <v>720.23809523809541</v>
      </c>
      <c r="M51" s="264">
        <f>G51/D51*100</f>
        <v>138.88888888888889</v>
      </c>
      <c r="N51" s="264">
        <f t="shared" ref="N51:N53" si="19">H51*100/E51</f>
        <v>112</v>
      </c>
      <c r="O51" s="264">
        <f>I51-F51</f>
        <v>720.23809523809541</v>
      </c>
    </row>
    <row r="52" spans="1:15">
      <c r="A52" s="336" t="s">
        <v>519</v>
      </c>
      <c r="B52" s="271"/>
      <c r="C52" s="275"/>
      <c r="D52" s="64">
        <f>15334</f>
        <v>15334</v>
      </c>
      <c r="E52" s="64">
        <v>6378</v>
      </c>
      <c r="F52" s="109">
        <f t="shared" si="17"/>
        <v>2404.2019441831294</v>
      </c>
      <c r="G52" s="109">
        <f>'1. Фін результат'!E10-G50-G51-G53</f>
        <v>14752.2</v>
      </c>
      <c r="H52" s="22">
        <f>19200</f>
        <v>19200</v>
      </c>
      <c r="I52" s="109">
        <f>G52/H52*1000</f>
        <v>768.34375</v>
      </c>
      <c r="J52" s="264">
        <f t="shared" si="16"/>
        <v>-581.79999999999927</v>
      </c>
      <c r="K52" s="264">
        <f t="shared" si="16"/>
        <v>12822</v>
      </c>
      <c r="L52" s="264">
        <f t="shared" si="16"/>
        <v>-1635.8581941831294</v>
      </c>
      <c r="M52" s="264">
        <f>G52/D52*100</f>
        <v>96.205817138385299</v>
      </c>
      <c r="N52" s="264">
        <f t="shared" si="19"/>
        <v>301.03480714957669</v>
      </c>
      <c r="O52" s="264">
        <f>I52-F52</f>
        <v>-1635.8581941831294</v>
      </c>
    </row>
    <row r="53" spans="1:15">
      <c r="A53" s="336" t="s">
        <v>578</v>
      </c>
      <c r="B53" s="271"/>
      <c r="C53" s="275"/>
      <c r="D53" s="64">
        <f>1232</f>
        <v>1232</v>
      </c>
      <c r="E53" s="64">
        <v>4200</v>
      </c>
      <c r="F53" s="109">
        <v>287</v>
      </c>
      <c r="G53" s="109">
        <f>1740+1192</f>
        <v>2932</v>
      </c>
      <c r="H53" s="22">
        <f>5843+3277</f>
        <v>9120</v>
      </c>
      <c r="I53" s="109">
        <f t="shared" si="18"/>
        <v>321.49122807017545</v>
      </c>
      <c r="J53" s="264">
        <f t="shared" si="16"/>
        <v>1700</v>
      </c>
      <c r="K53" s="264">
        <f t="shared" si="16"/>
        <v>4920</v>
      </c>
      <c r="L53" s="264">
        <f t="shared" si="16"/>
        <v>34.491228070175453</v>
      </c>
      <c r="M53" s="264">
        <f>G53/D53*100</f>
        <v>237.98701298701297</v>
      </c>
      <c r="N53" s="264">
        <f t="shared" si="19"/>
        <v>217.14285714285714</v>
      </c>
      <c r="O53" s="264">
        <f>I53-F53</f>
        <v>34.491228070175453</v>
      </c>
    </row>
    <row r="54" spans="1:15">
      <c r="A54" s="337" t="s">
        <v>58</v>
      </c>
      <c r="B54" s="338"/>
      <c r="C54" s="339"/>
      <c r="D54" s="265">
        <f>SUM(D50:D53)</f>
        <v>52706</v>
      </c>
      <c r="E54" s="265"/>
      <c r="F54" s="50"/>
      <c r="G54" s="50">
        <f>SUM(G50:G53)</f>
        <v>24368.2</v>
      </c>
      <c r="H54" s="50"/>
      <c r="I54" s="50"/>
      <c r="J54" s="25">
        <f>SUM(J50:J53)</f>
        <v>-28337.8</v>
      </c>
      <c r="K54" s="50"/>
      <c r="L54" s="50"/>
      <c r="M54" s="264">
        <f>G54/D54*100</f>
        <v>46.234204834364213</v>
      </c>
      <c r="N54" s="235"/>
      <c r="O54" s="50"/>
    </row>
    <row r="55" spans="1:15">
      <c r="A55" s="38"/>
      <c r="B55" s="266"/>
      <c r="C55" s="266"/>
      <c r="D55" s="226"/>
      <c r="E55" s="226"/>
      <c r="F55" s="19"/>
      <c r="G55" s="267"/>
      <c r="H55" s="19"/>
      <c r="I55" s="32"/>
      <c r="J55" s="32"/>
      <c r="K55" s="32"/>
      <c r="L55" s="32"/>
      <c r="M55" s="32"/>
      <c r="N55" s="32"/>
      <c r="O55" s="32"/>
    </row>
    <row r="56" spans="1:15">
      <c r="A56" s="282" t="s">
        <v>75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</row>
    <row r="58" spans="1:15">
      <c r="A58" s="23" t="s">
        <v>126</v>
      </c>
      <c r="B58" s="316" t="s">
        <v>74</v>
      </c>
      <c r="C58" s="316"/>
      <c r="D58" s="316" t="s">
        <v>69</v>
      </c>
      <c r="E58" s="316"/>
      <c r="F58" s="316" t="s">
        <v>70</v>
      </c>
      <c r="G58" s="316"/>
      <c r="H58" s="316" t="s">
        <v>90</v>
      </c>
      <c r="I58" s="316"/>
      <c r="J58" s="316"/>
      <c r="K58" s="327" t="s">
        <v>87</v>
      </c>
      <c r="L58" s="328"/>
      <c r="M58" s="327" t="s">
        <v>36</v>
      </c>
      <c r="N58" s="329"/>
      <c r="O58" s="328"/>
    </row>
    <row r="59" spans="1:15">
      <c r="A59" s="22">
        <v>1</v>
      </c>
      <c r="B59" s="331">
        <v>2</v>
      </c>
      <c r="C59" s="331"/>
      <c r="D59" s="331">
        <v>3</v>
      </c>
      <c r="E59" s="331"/>
      <c r="F59" s="331">
        <v>4</v>
      </c>
      <c r="G59" s="331"/>
      <c r="H59" s="331">
        <v>5</v>
      </c>
      <c r="I59" s="331"/>
      <c r="J59" s="331"/>
      <c r="K59" s="331">
        <v>6</v>
      </c>
      <c r="L59" s="331"/>
      <c r="M59" s="345">
        <v>7</v>
      </c>
      <c r="N59" s="352"/>
      <c r="O59" s="346"/>
    </row>
    <row r="60" spans="1:15">
      <c r="A60" s="260"/>
      <c r="B60" s="348"/>
      <c r="C60" s="348"/>
      <c r="D60" s="330"/>
      <c r="E60" s="330"/>
      <c r="F60" s="342" t="s">
        <v>255</v>
      </c>
      <c r="G60" s="342"/>
      <c r="H60" s="316"/>
      <c r="I60" s="316"/>
      <c r="J60" s="316"/>
      <c r="K60" s="343"/>
      <c r="L60" s="344"/>
      <c r="M60" s="330"/>
      <c r="N60" s="330"/>
      <c r="O60" s="330"/>
    </row>
    <row r="61" spans="1:15">
      <c r="A61" s="260"/>
      <c r="B61" s="340"/>
      <c r="C61" s="341"/>
      <c r="D61" s="343"/>
      <c r="E61" s="344"/>
      <c r="F61" s="349"/>
      <c r="G61" s="350"/>
      <c r="H61" s="327"/>
      <c r="I61" s="329"/>
      <c r="J61" s="328"/>
      <c r="K61" s="343"/>
      <c r="L61" s="344"/>
      <c r="M61" s="343"/>
      <c r="N61" s="351"/>
      <c r="O61" s="344"/>
    </row>
    <row r="62" spans="1:15">
      <c r="A62" s="260"/>
      <c r="B62" s="353"/>
      <c r="C62" s="354"/>
      <c r="D62" s="343"/>
      <c r="E62" s="344"/>
      <c r="F62" s="349"/>
      <c r="G62" s="350"/>
      <c r="H62" s="327"/>
      <c r="I62" s="329"/>
      <c r="J62" s="328"/>
      <c r="K62" s="343"/>
      <c r="L62" s="344"/>
      <c r="M62" s="343"/>
      <c r="N62" s="351"/>
      <c r="O62" s="344"/>
    </row>
    <row r="63" spans="1:15">
      <c r="A63" s="260"/>
      <c r="B63" s="348"/>
      <c r="C63" s="348"/>
      <c r="D63" s="330"/>
      <c r="E63" s="330"/>
      <c r="F63" s="342"/>
      <c r="G63" s="342"/>
      <c r="H63" s="316"/>
      <c r="I63" s="316"/>
      <c r="J63" s="316"/>
      <c r="K63" s="343"/>
      <c r="L63" s="344"/>
      <c r="M63" s="330"/>
      <c r="N63" s="330"/>
      <c r="O63" s="330"/>
    </row>
    <row r="64" spans="1:15">
      <c r="A64" s="268" t="s">
        <v>58</v>
      </c>
      <c r="B64" s="331" t="s">
        <v>37</v>
      </c>
      <c r="C64" s="331"/>
      <c r="D64" s="331" t="s">
        <v>37</v>
      </c>
      <c r="E64" s="331"/>
      <c r="F64" s="331" t="s">
        <v>37</v>
      </c>
      <c r="G64" s="331"/>
      <c r="H64" s="316"/>
      <c r="I64" s="316"/>
      <c r="J64" s="316"/>
      <c r="K64" s="343"/>
      <c r="L64" s="344"/>
      <c r="M64" s="330"/>
      <c r="N64" s="330"/>
      <c r="O64" s="330"/>
    </row>
    <row r="65" spans="1:15">
      <c r="A65" s="19"/>
      <c r="C65" s="37"/>
      <c r="D65" s="37"/>
      <c r="E65" s="37"/>
      <c r="F65" s="37"/>
      <c r="G65" s="37"/>
      <c r="H65" s="37"/>
      <c r="I65" s="37"/>
      <c r="J65" s="37"/>
    </row>
    <row r="66" spans="1:15">
      <c r="A66" s="282" t="s">
        <v>76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>
      <c r="A67" s="32"/>
      <c r="B67" s="32"/>
      <c r="C67" s="32"/>
      <c r="D67" s="32"/>
      <c r="E67" s="32"/>
      <c r="F67" s="32"/>
      <c r="G67" s="32"/>
      <c r="H67" s="32"/>
      <c r="I67" s="269"/>
    </row>
    <row r="68" spans="1:15">
      <c r="A68" s="316" t="s">
        <v>68</v>
      </c>
      <c r="B68" s="316"/>
      <c r="C68" s="316"/>
      <c r="D68" s="316" t="s">
        <v>241</v>
      </c>
      <c r="E68" s="316"/>
      <c r="F68" s="316" t="s">
        <v>242</v>
      </c>
      <c r="G68" s="316"/>
      <c r="H68" s="316"/>
      <c r="I68" s="316"/>
      <c r="J68" s="316" t="s">
        <v>245</v>
      </c>
      <c r="K68" s="316"/>
      <c r="L68" s="316"/>
      <c r="M68" s="316"/>
      <c r="N68" s="316" t="s">
        <v>246</v>
      </c>
      <c r="O68" s="316"/>
    </row>
    <row r="69" spans="1:15">
      <c r="A69" s="316"/>
      <c r="B69" s="316"/>
      <c r="C69" s="316"/>
      <c r="D69" s="316"/>
      <c r="E69" s="316"/>
      <c r="F69" s="331" t="s">
        <v>243</v>
      </c>
      <c r="G69" s="331"/>
      <c r="H69" s="316" t="s">
        <v>244</v>
      </c>
      <c r="I69" s="316"/>
      <c r="J69" s="331" t="s">
        <v>243</v>
      </c>
      <c r="K69" s="331"/>
      <c r="L69" s="316" t="s">
        <v>244</v>
      </c>
      <c r="M69" s="316"/>
      <c r="N69" s="316"/>
      <c r="O69" s="316"/>
    </row>
    <row r="70" spans="1:15">
      <c r="A70" s="316">
        <v>1</v>
      </c>
      <c r="B70" s="316"/>
      <c r="C70" s="316"/>
      <c r="D70" s="327">
        <v>2</v>
      </c>
      <c r="E70" s="328"/>
      <c r="F70" s="327">
        <v>3</v>
      </c>
      <c r="G70" s="328"/>
      <c r="H70" s="345">
        <v>4</v>
      </c>
      <c r="I70" s="346"/>
      <c r="J70" s="345">
        <v>5</v>
      </c>
      <c r="K70" s="346"/>
      <c r="L70" s="345">
        <v>6</v>
      </c>
      <c r="M70" s="346"/>
      <c r="N70" s="345">
        <v>7</v>
      </c>
      <c r="O70" s="346"/>
    </row>
    <row r="71" spans="1:15">
      <c r="A71" s="347" t="s">
        <v>308</v>
      </c>
      <c r="B71" s="347"/>
      <c r="C71" s="347"/>
      <c r="D71" s="343"/>
      <c r="E71" s="344"/>
      <c r="F71" s="343"/>
      <c r="G71" s="344"/>
      <c r="H71" s="343"/>
      <c r="I71" s="344"/>
      <c r="J71" s="343"/>
      <c r="K71" s="344"/>
      <c r="L71" s="343"/>
      <c r="M71" s="344"/>
      <c r="N71" s="343"/>
      <c r="O71" s="344"/>
    </row>
    <row r="72" spans="1:15">
      <c r="A72" s="347" t="s">
        <v>104</v>
      </c>
      <c r="B72" s="347"/>
      <c r="C72" s="347"/>
      <c r="D72" s="343"/>
      <c r="E72" s="344"/>
      <c r="F72" s="343"/>
      <c r="G72" s="344"/>
      <c r="H72" s="343"/>
      <c r="I72" s="344"/>
      <c r="J72" s="343"/>
      <c r="K72" s="344"/>
      <c r="L72" s="343"/>
      <c r="M72" s="344"/>
      <c r="N72" s="343"/>
      <c r="O72" s="344"/>
    </row>
    <row r="73" spans="1:15">
      <c r="A73" s="347"/>
      <c r="B73" s="347"/>
      <c r="C73" s="347"/>
      <c r="D73" s="343"/>
      <c r="E73" s="344"/>
      <c r="F73" s="343"/>
      <c r="G73" s="344"/>
      <c r="H73" s="343"/>
      <c r="I73" s="344"/>
      <c r="J73" s="343"/>
      <c r="K73" s="344"/>
      <c r="L73" s="343"/>
      <c r="M73" s="344"/>
      <c r="N73" s="343"/>
      <c r="O73" s="344"/>
    </row>
    <row r="74" spans="1:15">
      <c r="A74" s="347" t="s">
        <v>309</v>
      </c>
      <c r="B74" s="347"/>
      <c r="C74" s="347"/>
      <c r="D74" s="343"/>
      <c r="E74" s="344"/>
      <c r="F74" s="343"/>
      <c r="G74" s="344"/>
      <c r="H74" s="343"/>
      <c r="I74" s="344"/>
      <c r="J74" s="343"/>
      <c r="K74" s="344"/>
      <c r="L74" s="343"/>
      <c r="M74" s="344"/>
      <c r="N74" s="343"/>
      <c r="O74" s="344"/>
    </row>
    <row r="75" spans="1:15">
      <c r="A75" s="347" t="s">
        <v>468</v>
      </c>
      <c r="B75" s="347"/>
      <c r="C75" s="347"/>
      <c r="D75" s="343"/>
      <c r="E75" s="344"/>
      <c r="F75" s="343"/>
      <c r="G75" s="344"/>
      <c r="H75" s="343"/>
      <c r="I75" s="344"/>
      <c r="J75" s="343"/>
      <c r="K75" s="344"/>
      <c r="L75" s="343"/>
      <c r="M75" s="344"/>
      <c r="N75" s="343"/>
      <c r="O75" s="344"/>
    </row>
    <row r="76" spans="1:15">
      <c r="A76" s="347"/>
      <c r="B76" s="347"/>
      <c r="C76" s="347"/>
      <c r="D76" s="343"/>
      <c r="E76" s="344"/>
      <c r="F76" s="343"/>
      <c r="G76" s="344"/>
      <c r="H76" s="343"/>
      <c r="I76" s="344"/>
      <c r="J76" s="343"/>
      <c r="K76" s="344"/>
      <c r="L76" s="343"/>
      <c r="M76" s="344"/>
      <c r="N76" s="343"/>
      <c r="O76" s="344"/>
    </row>
    <row r="77" spans="1:15">
      <c r="A77" s="347" t="s">
        <v>310</v>
      </c>
      <c r="B77" s="347"/>
      <c r="C77" s="347"/>
      <c r="D77" s="343"/>
      <c r="E77" s="344"/>
      <c r="F77" s="343"/>
      <c r="G77" s="344"/>
      <c r="H77" s="343"/>
      <c r="I77" s="344"/>
      <c r="J77" s="343"/>
      <c r="K77" s="344"/>
      <c r="L77" s="343"/>
      <c r="M77" s="344"/>
      <c r="N77" s="343"/>
      <c r="O77" s="344"/>
    </row>
    <row r="78" spans="1:15">
      <c r="A78" s="347" t="s">
        <v>104</v>
      </c>
      <c r="B78" s="347"/>
      <c r="C78" s="347"/>
      <c r="D78" s="343"/>
      <c r="E78" s="344"/>
      <c r="F78" s="343"/>
      <c r="G78" s="344"/>
      <c r="H78" s="343"/>
      <c r="I78" s="344"/>
      <c r="J78" s="343"/>
      <c r="K78" s="344"/>
      <c r="L78" s="343"/>
      <c r="M78" s="344"/>
      <c r="N78" s="343"/>
      <c r="O78" s="344"/>
    </row>
    <row r="79" spans="1:15">
      <c r="A79" s="347"/>
      <c r="B79" s="347"/>
      <c r="C79" s="347"/>
      <c r="D79" s="343"/>
      <c r="E79" s="344"/>
      <c r="F79" s="343"/>
      <c r="G79" s="344"/>
      <c r="H79" s="343"/>
      <c r="I79" s="344"/>
      <c r="J79" s="343"/>
      <c r="K79" s="344"/>
      <c r="L79" s="343"/>
      <c r="M79" s="344"/>
      <c r="N79" s="343"/>
      <c r="O79" s="344"/>
    </row>
    <row r="80" spans="1:15">
      <c r="A80" s="347" t="s">
        <v>58</v>
      </c>
      <c r="B80" s="347"/>
      <c r="C80" s="347"/>
      <c r="D80" s="343"/>
      <c r="E80" s="344"/>
      <c r="F80" s="343"/>
      <c r="G80" s="344"/>
      <c r="H80" s="343"/>
      <c r="I80" s="344"/>
      <c r="J80" s="343"/>
      <c r="K80" s="344"/>
      <c r="L80" s="343"/>
      <c r="M80" s="344"/>
      <c r="N80" s="343"/>
      <c r="O80" s="344"/>
    </row>
    <row r="81" spans="3:5">
      <c r="C81" s="270"/>
      <c r="D81" s="270"/>
      <c r="E81" s="270"/>
    </row>
    <row r="82" spans="3:5">
      <c r="C82" s="270"/>
      <c r="D82" s="270"/>
      <c r="E82" s="270"/>
    </row>
    <row r="83" spans="3:5">
      <c r="C83" s="270"/>
      <c r="D83" s="270"/>
      <c r="E83" s="270"/>
    </row>
    <row r="84" spans="3:5">
      <c r="C84" s="270"/>
      <c r="D84" s="270"/>
      <c r="E84" s="270"/>
    </row>
    <row r="85" spans="3:5">
      <c r="C85" s="270"/>
      <c r="D85" s="270"/>
      <c r="E85" s="270"/>
    </row>
    <row r="86" spans="3:5">
      <c r="C86" s="270"/>
      <c r="D86" s="270"/>
      <c r="E86" s="270"/>
    </row>
    <row r="87" spans="3:5">
      <c r="C87" s="270"/>
      <c r="D87" s="270"/>
      <c r="E87" s="270"/>
    </row>
    <row r="88" spans="3:5">
      <c r="C88" s="270"/>
      <c r="D88" s="270"/>
      <c r="E88" s="270"/>
    </row>
    <row r="89" spans="3:5">
      <c r="C89" s="270"/>
      <c r="D89" s="270"/>
      <c r="E89" s="270"/>
    </row>
    <row r="90" spans="3:5">
      <c r="C90" s="270"/>
      <c r="D90" s="270"/>
      <c r="E90" s="270"/>
    </row>
    <row r="91" spans="3:5">
      <c r="C91" s="270"/>
      <c r="D91" s="270"/>
      <c r="E91" s="270"/>
    </row>
    <row r="92" spans="3:5">
      <c r="C92" s="270"/>
      <c r="D92" s="270"/>
      <c r="E92" s="270"/>
    </row>
    <row r="93" spans="3:5">
      <c r="C93" s="270"/>
      <c r="D93" s="270"/>
      <c r="E93" s="270"/>
    </row>
    <row r="94" spans="3:5">
      <c r="C94" s="270"/>
      <c r="D94" s="270"/>
      <c r="E94" s="270"/>
    </row>
  </sheetData>
  <sheetProtection formatCells="0" formatColumns="0" formatRows="0" insertRows="0" deleteRows="0"/>
  <mergeCells count="306">
    <mergeCell ref="A5:O5"/>
    <mergeCell ref="A6:O6"/>
    <mergeCell ref="F42:O42"/>
    <mergeCell ref="B42:E42"/>
    <mergeCell ref="A37:O37"/>
    <mergeCell ref="F41:O41"/>
    <mergeCell ref="A45:O45"/>
    <mergeCell ref="M43:O43"/>
    <mergeCell ref="M44:O44"/>
    <mergeCell ref="L16:M16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N16:O16"/>
    <mergeCell ref="L14:M14"/>
    <mergeCell ref="N14:O14"/>
    <mergeCell ref="L17:M17"/>
    <mergeCell ref="N1:O1"/>
    <mergeCell ref="N2:O2"/>
    <mergeCell ref="A3:O3"/>
    <mergeCell ref="A4:O4"/>
    <mergeCell ref="A7:O7"/>
    <mergeCell ref="A9:O9"/>
    <mergeCell ref="B41:E41"/>
    <mergeCell ref="F40:O40"/>
    <mergeCell ref="B40:E40"/>
    <mergeCell ref="A39:O39"/>
    <mergeCell ref="N12:O12"/>
    <mergeCell ref="H12:I12"/>
    <mergeCell ref="J12:K12"/>
    <mergeCell ref="F14:G14"/>
    <mergeCell ref="F15:G15"/>
    <mergeCell ref="F16:G16"/>
    <mergeCell ref="D12:E12"/>
    <mergeCell ref="H16:I16"/>
    <mergeCell ref="H11:I11"/>
    <mergeCell ref="J11:K11"/>
    <mergeCell ref="L11:M11"/>
    <mergeCell ref="J16:K16"/>
    <mergeCell ref="J15:K15"/>
    <mergeCell ref="L15:M15"/>
    <mergeCell ref="B62:C62"/>
    <mergeCell ref="D62:E62"/>
    <mergeCell ref="F62:G62"/>
    <mergeCell ref="A72:C72"/>
    <mergeCell ref="H59:J59"/>
    <mergeCell ref="K61:L61"/>
    <mergeCell ref="K62:L62"/>
    <mergeCell ref="H61:J61"/>
    <mergeCell ref="F71:G71"/>
    <mergeCell ref="K59:L59"/>
    <mergeCell ref="B59:C59"/>
    <mergeCell ref="F59:G59"/>
    <mergeCell ref="F68:I68"/>
    <mergeCell ref="F69:G69"/>
    <mergeCell ref="D68:E69"/>
    <mergeCell ref="F70:G70"/>
    <mergeCell ref="B60:C60"/>
    <mergeCell ref="H60:J60"/>
    <mergeCell ref="F60:G60"/>
    <mergeCell ref="D60:E60"/>
    <mergeCell ref="K60:L60"/>
    <mergeCell ref="J70:K70"/>
    <mergeCell ref="J68:M68"/>
    <mergeCell ref="J69:K69"/>
    <mergeCell ref="L77:M77"/>
    <mergeCell ref="H74:I74"/>
    <mergeCell ref="K63:L63"/>
    <mergeCell ref="F75:G75"/>
    <mergeCell ref="D74:E74"/>
    <mergeCell ref="F74:G74"/>
    <mergeCell ref="H70:I70"/>
    <mergeCell ref="D71:E71"/>
    <mergeCell ref="M58:O58"/>
    <mergeCell ref="H64:J64"/>
    <mergeCell ref="D58:E58"/>
    <mergeCell ref="F58:G58"/>
    <mergeCell ref="H58:J58"/>
    <mergeCell ref="K58:L58"/>
    <mergeCell ref="D63:E63"/>
    <mergeCell ref="D61:E61"/>
    <mergeCell ref="F61:G61"/>
    <mergeCell ref="M63:O63"/>
    <mergeCell ref="K64:L64"/>
    <mergeCell ref="M62:O62"/>
    <mergeCell ref="M61:O61"/>
    <mergeCell ref="M59:O59"/>
    <mergeCell ref="M60:O60"/>
    <mergeCell ref="F63:G63"/>
    <mergeCell ref="H63:J63"/>
    <mergeCell ref="A74:C74"/>
    <mergeCell ref="H75:I75"/>
    <mergeCell ref="J75:K75"/>
    <mergeCell ref="A75:C75"/>
    <mergeCell ref="L75:M75"/>
    <mergeCell ref="D72:E72"/>
    <mergeCell ref="F72:G72"/>
    <mergeCell ref="B63:C63"/>
    <mergeCell ref="L69:M69"/>
    <mergeCell ref="A80:C80"/>
    <mergeCell ref="D73:E73"/>
    <mergeCell ref="F73:G73"/>
    <mergeCell ref="A78:C78"/>
    <mergeCell ref="D76:E76"/>
    <mergeCell ref="F76:G76"/>
    <mergeCell ref="A77:C77"/>
    <mergeCell ref="A76:C76"/>
    <mergeCell ref="A79:C79"/>
    <mergeCell ref="D75:E75"/>
    <mergeCell ref="D80:E80"/>
    <mergeCell ref="F80:G80"/>
    <mergeCell ref="D78:E78"/>
    <mergeCell ref="F78:G78"/>
    <mergeCell ref="A73:C73"/>
    <mergeCell ref="D77:E77"/>
    <mergeCell ref="F77:G77"/>
    <mergeCell ref="N68:O69"/>
    <mergeCell ref="M64:O64"/>
    <mergeCell ref="L70:M70"/>
    <mergeCell ref="N70:O70"/>
    <mergeCell ref="L71:M71"/>
    <mergeCell ref="N71:O71"/>
    <mergeCell ref="H69:I69"/>
    <mergeCell ref="J71:K71"/>
    <mergeCell ref="H71:I71"/>
    <mergeCell ref="A66:O66"/>
    <mergeCell ref="B64:C64"/>
    <mergeCell ref="D64:E64"/>
    <mergeCell ref="F64:G64"/>
    <mergeCell ref="A71:C71"/>
    <mergeCell ref="A70:C70"/>
    <mergeCell ref="D70:E70"/>
    <mergeCell ref="J78:K78"/>
    <mergeCell ref="H72:I72"/>
    <mergeCell ref="J72:K72"/>
    <mergeCell ref="L73:M73"/>
    <mergeCell ref="H73:I73"/>
    <mergeCell ref="J73:K73"/>
    <mergeCell ref="J74:K74"/>
    <mergeCell ref="L79:M79"/>
    <mergeCell ref="N79:O79"/>
    <mergeCell ref="H78:I78"/>
    <mergeCell ref="L74:M74"/>
    <mergeCell ref="N73:O73"/>
    <mergeCell ref="N78:O78"/>
    <mergeCell ref="N76:O76"/>
    <mergeCell ref="L78:M78"/>
    <mergeCell ref="N77:O77"/>
    <mergeCell ref="N74:O74"/>
    <mergeCell ref="N75:O75"/>
    <mergeCell ref="N72:O72"/>
    <mergeCell ref="J76:K76"/>
    <mergeCell ref="L76:M76"/>
    <mergeCell ref="L72:M72"/>
    <mergeCell ref="H77:I77"/>
    <mergeCell ref="J77:K77"/>
    <mergeCell ref="H80:I80"/>
    <mergeCell ref="J80:K80"/>
    <mergeCell ref="L80:M80"/>
    <mergeCell ref="F11:G11"/>
    <mergeCell ref="F12:G12"/>
    <mergeCell ref="B12:C12"/>
    <mergeCell ref="D16:E16"/>
    <mergeCell ref="H76:I76"/>
    <mergeCell ref="N80:O80"/>
    <mergeCell ref="D79:E79"/>
    <mergeCell ref="F79:G79"/>
    <mergeCell ref="H79:I79"/>
    <mergeCell ref="J79:K79"/>
    <mergeCell ref="D17:E17"/>
    <mergeCell ref="D18:E18"/>
    <mergeCell ref="A68:C69"/>
    <mergeCell ref="D27:E27"/>
    <mergeCell ref="D23:E23"/>
    <mergeCell ref="D25:E25"/>
    <mergeCell ref="D26:E26"/>
    <mergeCell ref="D21:E21"/>
    <mergeCell ref="D22:E22"/>
    <mergeCell ref="A28:O28"/>
    <mergeCell ref="L12:M12"/>
    <mergeCell ref="N17:O17"/>
    <mergeCell ref="L18:M18"/>
    <mergeCell ref="N18:O18"/>
    <mergeCell ref="F17:G17"/>
    <mergeCell ref="F18:G18"/>
    <mergeCell ref="H17:I17"/>
    <mergeCell ref="H18:I18"/>
    <mergeCell ref="J17:K17"/>
    <mergeCell ref="J18:K18"/>
    <mergeCell ref="F19:G19"/>
    <mergeCell ref="F21:G21"/>
    <mergeCell ref="F22:G22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N21:O21"/>
    <mergeCell ref="N22:O22"/>
    <mergeCell ref="L19:M19"/>
    <mergeCell ref="L21:M21"/>
    <mergeCell ref="L22:M22"/>
    <mergeCell ref="L27:M27"/>
    <mergeCell ref="F27:G27"/>
    <mergeCell ref="H23:I23"/>
    <mergeCell ref="H25:I25"/>
    <mergeCell ref="H26:I26"/>
    <mergeCell ref="H27:I27"/>
    <mergeCell ref="F23:G23"/>
    <mergeCell ref="F25:G25"/>
    <mergeCell ref="F26:G26"/>
    <mergeCell ref="J23:K23"/>
    <mergeCell ref="J25:K25"/>
    <mergeCell ref="J26:K26"/>
    <mergeCell ref="J27:K27"/>
    <mergeCell ref="N23:O23"/>
    <mergeCell ref="N25:O25"/>
    <mergeCell ref="N26:O26"/>
    <mergeCell ref="A24:O24"/>
    <mergeCell ref="D33:E33"/>
    <mergeCell ref="D34:E34"/>
    <mergeCell ref="B33:C33"/>
    <mergeCell ref="A32:O32"/>
    <mergeCell ref="F34:G34"/>
    <mergeCell ref="J34:K34"/>
    <mergeCell ref="N27:O27"/>
    <mergeCell ref="D29:E29"/>
    <mergeCell ref="D30:E30"/>
    <mergeCell ref="D31:E31"/>
    <mergeCell ref="B25:C25"/>
    <mergeCell ref="B26:C26"/>
    <mergeCell ref="B27:C27"/>
    <mergeCell ref="B29:C29"/>
    <mergeCell ref="B31:C31"/>
    <mergeCell ref="B30:C30"/>
    <mergeCell ref="L23:M23"/>
    <mergeCell ref="L25:M25"/>
    <mergeCell ref="L26:M26"/>
    <mergeCell ref="J30:K30"/>
    <mergeCell ref="F29:G29"/>
    <mergeCell ref="F30:G30"/>
    <mergeCell ref="F31:G31"/>
    <mergeCell ref="F33:G33"/>
    <mergeCell ref="J29:K29"/>
    <mergeCell ref="H29:I29"/>
    <mergeCell ref="H30:I30"/>
    <mergeCell ref="H31:I31"/>
    <mergeCell ref="H33:I33"/>
    <mergeCell ref="J31:K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L29:M29"/>
    <mergeCell ref="L30:M30"/>
    <mergeCell ref="L31:M31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O47:O48"/>
    <mergeCell ref="G47:I47"/>
    <mergeCell ref="J47:L47"/>
    <mergeCell ref="M47:N47"/>
    <mergeCell ref="A49:C49"/>
    <mergeCell ref="H62:J62"/>
    <mergeCell ref="B34:C34"/>
    <mergeCell ref="B35:C35"/>
    <mergeCell ref="J35:K35"/>
    <mergeCell ref="F35:G35"/>
    <mergeCell ref="D59:E59"/>
    <mergeCell ref="D35:E35"/>
    <mergeCell ref="H35:I35"/>
    <mergeCell ref="H34:I34"/>
    <mergeCell ref="D47:F47"/>
    <mergeCell ref="A47:C48"/>
    <mergeCell ref="A50:C50"/>
    <mergeCell ref="B58:C58"/>
    <mergeCell ref="A56:O56"/>
    <mergeCell ref="A54:C54"/>
    <mergeCell ref="A51:C51"/>
    <mergeCell ref="A52:C52"/>
    <mergeCell ref="A53:C53"/>
    <mergeCell ref="B61:C61"/>
  </mergeCells>
  <phoneticPr fontId="3" type="noConversion"/>
  <pageMargins left="0.78740157480314965" right="0.78740157480314965" top="1.1811023622047243" bottom="0.39370078740157483" header="0" footer="0"/>
  <pageSetup paperSize="9" scale="45" orientation="landscape" horizontalDpi="1200" verticalDpi="1200" r:id="rId1"/>
  <headerFooter alignWithMargins="0"/>
  <rowBreaks count="1" manualBreakCount="1">
    <brk id="4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tabColor indexed="43"/>
  </sheetPr>
  <dimension ref="A1:AE84"/>
  <sheetViews>
    <sheetView view="pageBreakPreview" topLeftCell="A11" zoomScale="60" zoomScaleNormal="60" workbookViewId="0">
      <selection activeCell="A27" sqref="A27:N57"/>
    </sheetView>
  </sheetViews>
  <sheetFormatPr defaultColWidth="9.1796875" defaultRowHeight="18"/>
  <cols>
    <col min="1" max="1" width="4.453125" style="111" customWidth="1"/>
    <col min="2" max="2" width="84.453125" style="111" customWidth="1"/>
    <col min="3" max="6" width="11.26953125" style="111" hidden="1" customWidth="1"/>
    <col min="7" max="12" width="11" style="111" customWidth="1"/>
    <col min="13" max="13" width="11.1796875" style="111" customWidth="1"/>
    <col min="14" max="20" width="11" style="111" customWidth="1"/>
    <col min="21" max="21" width="11" style="114" customWidth="1"/>
    <col min="22" max="22" width="12.453125" style="114" customWidth="1"/>
    <col min="23" max="25" width="11" style="114" customWidth="1"/>
    <col min="26" max="31" width="11" style="111" customWidth="1"/>
    <col min="32" max="16384" width="9.1796875" style="111"/>
  </cols>
  <sheetData>
    <row r="1" spans="1:31" ht="18.75" customHeight="1">
      <c r="B1" s="115" t="s">
        <v>248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  <c r="X1" s="117"/>
      <c r="Y1" s="117"/>
      <c r="Z1" s="116"/>
      <c r="AA1" s="116"/>
      <c r="AB1" s="116"/>
      <c r="AC1" s="116"/>
      <c r="AD1" s="116"/>
      <c r="AE1" s="116"/>
    </row>
    <row r="2" spans="1:31">
      <c r="A2" s="118"/>
      <c r="B2" s="118"/>
      <c r="C2" s="118"/>
      <c r="D2" s="118"/>
      <c r="E2" s="118"/>
      <c r="F2" s="118"/>
      <c r="G2" s="118"/>
      <c r="H2" s="118"/>
      <c r="I2" s="118"/>
      <c r="J2" s="118"/>
      <c r="U2" s="111"/>
      <c r="V2" s="111"/>
      <c r="W2" s="111"/>
      <c r="X2" s="111"/>
      <c r="Y2" s="111"/>
    </row>
    <row r="3" spans="1:31" ht="18.75" customHeight="1">
      <c r="A3" s="372" t="s">
        <v>53</v>
      </c>
      <c r="B3" s="372" t="s">
        <v>192</v>
      </c>
      <c r="C3" s="375" t="s">
        <v>193</v>
      </c>
      <c r="D3" s="375" t="s">
        <v>338</v>
      </c>
      <c r="E3" s="375" t="s">
        <v>194</v>
      </c>
      <c r="F3" s="378" t="s">
        <v>301</v>
      </c>
      <c r="G3" s="379"/>
      <c r="H3" s="379"/>
      <c r="I3" s="379"/>
      <c r="J3" s="380"/>
      <c r="U3" s="111"/>
      <c r="V3" s="111"/>
      <c r="W3" s="111"/>
      <c r="X3" s="111"/>
      <c r="Y3" s="111"/>
    </row>
    <row r="4" spans="1:31" ht="71.25" customHeight="1">
      <c r="A4" s="374"/>
      <c r="B4" s="374"/>
      <c r="C4" s="377"/>
      <c r="D4" s="377"/>
      <c r="E4" s="377"/>
      <c r="F4" s="119" t="s">
        <v>195</v>
      </c>
      <c r="G4" s="119" t="s">
        <v>196</v>
      </c>
      <c r="H4" s="119" t="s">
        <v>41</v>
      </c>
      <c r="I4" s="119" t="s">
        <v>197</v>
      </c>
      <c r="J4" s="119" t="s">
        <v>198</v>
      </c>
      <c r="U4" s="111"/>
      <c r="V4" s="111"/>
      <c r="W4" s="111"/>
      <c r="X4" s="111"/>
      <c r="Y4" s="111"/>
    </row>
    <row r="5" spans="1:31" ht="18" customHeight="1">
      <c r="A5" s="120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0">
        <v>10</v>
      </c>
      <c r="U5" s="111"/>
      <c r="V5" s="111"/>
      <c r="W5" s="111"/>
      <c r="X5" s="111"/>
      <c r="Y5" s="111"/>
    </row>
    <row r="6" spans="1:31" s="122" customFormat="1" ht="20.149999999999999" hidden="1" customHeight="1">
      <c r="A6" s="121">
        <v>1</v>
      </c>
      <c r="B6" s="121"/>
      <c r="C6" s="120"/>
      <c r="D6" s="120"/>
      <c r="E6" s="120">
        <f>SUM(F6,G6,H6,I6,J6)</f>
        <v>0</v>
      </c>
      <c r="F6" s="120"/>
      <c r="G6" s="120"/>
      <c r="H6" s="120"/>
      <c r="I6" s="120"/>
      <c r="J6" s="120"/>
    </row>
    <row r="7" spans="1:31" s="122" customFormat="1" ht="20.149999999999999" hidden="1" customHeight="1">
      <c r="A7" s="121">
        <v>2</v>
      </c>
      <c r="B7" s="121"/>
      <c r="C7" s="120"/>
      <c r="D7" s="120"/>
      <c r="E7" s="120">
        <f>SUM(F7,G7,H7,I7,J7)</f>
        <v>0</v>
      </c>
      <c r="F7" s="120"/>
      <c r="G7" s="120"/>
      <c r="H7" s="120"/>
      <c r="I7" s="120"/>
      <c r="J7" s="120"/>
    </row>
    <row r="8" spans="1:31" ht="20.149999999999999" hidden="1" customHeight="1">
      <c r="A8" s="120"/>
      <c r="B8" s="120"/>
      <c r="C8" s="120"/>
      <c r="D8" s="120"/>
      <c r="E8" s="120">
        <f>SUM(F8,G8,H8,I8,J8)</f>
        <v>0</v>
      </c>
      <c r="F8" s="120"/>
      <c r="G8" s="120"/>
      <c r="H8" s="120"/>
      <c r="I8" s="120"/>
      <c r="J8" s="120"/>
      <c r="U8" s="111"/>
      <c r="V8" s="111"/>
      <c r="W8" s="111"/>
      <c r="X8" s="111"/>
      <c r="Y8" s="111"/>
    </row>
    <row r="9" spans="1:31" ht="20.149999999999999" hidden="1" customHeight="1">
      <c r="A9" s="120"/>
      <c r="B9" s="120"/>
      <c r="C9" s="120"/>
      <c r="D9" s="120"/>
      <c r="E9" s="120">
        <f>SUM(F9,G9,H9,I9,J9)</f>
        <v>0</v>
      </c>
      <c r="F9" s="120"/>
      <c r="G9" s="120"/>
      <c r="H9" s="120"/>
      <c r="I9" s="120"/>
      <c r="J9" s="120"/>
      <c r="U9" s="111"/>
      <c r="V9" s="111"/>
      <c r="W9" s="111"/>
      <c r="X9" s="111"/>
      <c r="Y9" s="111"/>
    </row>
    <row r="10" spans="1:31" ht="20.149999999999999" customHeight="1">
      <c r="A10" s="370" t="s">
        <v>58</v>
      </c>
      <c r="B10" s="371"/>
      <c r="C10" s="120"/>
      <c r="D10" s="120"/>
      <c r="E10" s="120">
        <f>SUM(F10,G10,H10,I10,J10)</f>
        <v>0</v>
      </c>
      <c r="F10" s="120">
        <f>SUM(F6:F9)</f>
        <v>0</v>
      </c>
      <c r="G10" s="120">
        <f>SUM(G6:G9)</f>
        <v>0</v>
      </c>
      <c r="H10" s="120">
        <f>SUM(H6:H9)</f>
        <v>0</v>
      </c>
      <c r="I10" s="120">
        <f>SUM(I6:I9)</f>
        <v>0</v>
      </c>
      <c r="J10" s="120">
        <f>SUM(J6:J9)</f>
        <v>0</v>
      </c>
      <c r="U10" s="111"/>
      <c r="V10" s="111"/>
      <c r="W10" s="111"/>
      <c r="X10" s="111"/>
      <c r="Y10" s="111"/>
    </row>
    <row r="11" spans="1:3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U11" s="111"/>
      <c r="V11" s="111"/>
      <c r="W11" s="111"/>
      <c r="X11" s="111"/>
      <c r="Y11" s="111"/>
    </row>
    <row r="12" spans="1:31" s="115" customFormat="1" ht="18.75" customHeight="1">
      <c r="B12" s="115" t="s">
        <v>249</v>
      </c>
    </row>
    <row r="13" spans="1:31" s="115" customFormat="1" ht="18.75" customHeight="1">
      <c r="U13" s="124"/>
      <c r="V13" s="124"/>
      <c r="W13" s="124"/>
      <c r="X13" s="124"/>
      <c r="Y13" s="124"/>
    </row>
    <row r="14" spans="1:31" ht="18.75" customHeight="1">
      <c r="A14" s="372" t="s">
        <v>53</v>
      </c>
      <c r="B14" s="372" t="s">
        <v>199</v>
      </c>
      <c r="C14" s="375" t="s">
        <v>192</v>
      </c>
      <c r="D14" s="375" t="s">
        <v>338</v>
      </c>
      <c r="E14" s="375" t="s">
        <v>200</v>
      </c>
      <c r="F14" s="378" t="s">
        <v>201</v>
      </c>
      <c r="G14" s="379"/>
      <c r="H14" s="379"/>
      <c r="I14" s="379"/>
      <c r="J14" s="380"/>
      <c r="U14" s="111"/>
      <c r="V14" s="111"/>
      <c r="W14" s="111"/>
      <c r="X14" s="111"/>
      <c r="Y14" s="111"/>
    </row>
    <row r="15" spans="1:31" ht="18.75" customHeight="1">
      <c r="A15" s="373"/>
      <c r="B15" s="373"/>
      <c r="C15" s="376"/>
      <c r="D15" s="376"/>
      <c r="E15" s="376"/>
      <c r="F15" s="375" t="s">
        <v>502</v>
      </c>
      <c r="G15" s="378" t="s">
        <v>503</v>
      </c>
      <c r="H15" s="379"/>
      <c r="I15" s="379"/>
      <c r="J15" s="380"/>
      <c r="U15" s="111"/>
      <c r="V15" s="111"/>
      <c r="W15" s="111"/>
      <c r="X15" s="111"/>
      <c r="Y15" s="111"/>
    </row>
    <row r="16" spans="1:31" ht="52.5" customHeight="1">
      <c r="A16" s="374"/>
      <c r="B16" s="374"/>
      <c r="C16" s="377"/>
      <c r="D16" s="377"/>
      <c r="E16" s="377"/>
      <c r="F16" s="377"/>
      <c r="G16" s="119" t="s">
        <v>504</v>
      </c>
      <c r="H16" s="119" t="s">
        <v>505</v>
      </c>
      <c r="I16" s="119" t="s">
        <v>506</v>
      </c>
      <c r="J16" s="119" t="s">
        <v>507</v>
      </c>
      <c r="U16" s="111"/>
      <c r="V16" s="111"/>
      <c r="W16" s="111"/>
      <c r="X16" s="111"/>
      <c r="Y16" s="111"/>
    </row>
    <row r="17" spans="1:31" ht="18" customHeight="1">
      <c r="A17" s="119">
        <v>1</v>
      </c>
      <c r="B17" s="119">
        <v>2</v>
      </c>
      <c r="C17" s="119">
        <v>3</v>
      </c>
      <c r="D17" s="119">
        <v>4</v>
      </c>
      <c r="E17" s="119">
        <v>5</v>
      </c>
      <c r="F17" s="119">
        <v>6</v>
      </c>
      <c r="G17" s="119">
        <v>7</v>
      </c>
      <c r="H17" s="119">
        <v>8</v>
      </c>
      <c r="I17" s="119">
        <v>9</v>
      </c>
      <c r="J17" s="119">
        <v>10</v>
      </c>
      <c r="U17" s="111"/>
      <c r="V17" s="111"/>
      <c r="W17" s="111"/>
      <c r="X17" s="111"/>
      <c r="Y17" s="111"/>
    </row>
    <row r="18" spans="1:31" s="122" customFormat="1" ht="20.149999999999999" hidden="1" customHeight="1">
      <c r="A18" s="119">
        <v>1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31" ht="20.149999999999999" hidden="1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U19" s="111"/>
      <c r="V19" s="111"/>
      <c r="W19" s="111"/>
      <c r="X19" s="111"/>
      <c r="Y19" s="111"/>
    </row>
    <row r="20" spans="1:31" ht="20.149999999999999" hidden="1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U20" s="111"/>
      <c r="V20" s="111"/>
      <c r="W20" s="111"/>
      <c r="X20" s="111"/>
      <c r="Y20" s="111"/>
    </row>
    <row r="21" spans="1:31" ht="20.149999999999999" hidden="1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U21" s="111"/>
      <c r="V21" s="111"/>
      <c r="W21" s="111"/>
      <c r="X21" s="111"/>
      <c r="Y21" s="111"/>
    </row>
    <row r="22" spans="1:31" ht="20.149999999999999" customHeight="1">
      <c r="A22" s="378" t="s">
        <v>58</v>
      </c>
      <c r="B22" s="380"/>
      <c r="C22" s="119"/>
      <c r="D22" s="119"/>
      <c r="E22" s="119"/>
      <c r="F22" s="119">
        <f>SUM(F18:F21)</f>
        <v>0</v>
      </c>
      <c r="G22" s="119">
        <f>SUM(G18:G21)</f>
        <v>0</v>
      </c>
      <c r="H22" s="119">
        <f>SUM(H18:H21)</f>
        <v>0</v>
      </c>
      <c r="I22" s="119">
        <f>SUM(I18:I21)</f>
        <v>0</v>
      </c>
      <c r="J22" s="119">
        <f>SUM(J18:J21)</f>
        <v>0</v>
      </c>
      <c r="U22" s="111"/>
      <c r="V22" s="111"/>
      <c r="W22" s="111"/>
      <c r="X22" s="111"/>
      <c r="Y22" s="111"/>
    </row>
    <row r="23" spans="1:3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Q23" s="112"/>
      <c r="R23" s="112"/>
      <c r="S23" s="112"/>
      <c r="T23" s="112"/>
      <c r="U23" s="113"/>
      <c r="AE23" s="112"/>
    </row>
    <row r="24" spans="1:31">
      <c r="A24" s="110"/>
      <c r="B24" s="12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Q24" s="112"/>
      <c r="R24" s="112"/>
      <c r="S24" s="112"/>
      <c r="T24" s="112"/>
      <c r="U24" s="113"/>
      <c r="AE24" s="112"/>
    </row>
    <row r="25" spans="1:31" s="115" customFormat="1" ht="18.75" customHeight="1">
      <c r="B25" s="115" t="s">
        <v>213</v>
      </c>
      <c r="U25" s="124"/>
      <c r="V25" s="124"/>
      <c r="W25" s="124"/>
      <c r="X25" s="124"/>
      <c r="Y25" s="124"/>
      <c r="AB25" s="126"/>
      <c r="AC25" s="126"/>
      <c r="AD25" s="126"/>
    </row>
    <row r="26" spans="1:31" ht="20.5">
      <c r="A26" s="127"/>
      <c r="B26" s="127"/>
      <c r="C26" s="127"/>
      <c r="D26" s="127"/>
      <c r="E26" s="127"/>
      <c r="F26" s="127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U26" s="122"/>
      <c r="V26" s="129" t="s">
        <v>233</v>
      </c>
      <c r="AC26" s="122"/>
      <c r="AD26" s="129"/>
    </row>
    <row r="27" spans="1:31" ht="30" customHeight="1">
      <c r="A27" s="375" t="s">
        <v>53</v>
      </c>
      <c r="B27" s="375" t="s">
        <v>250</v>
      </c>
      <c r="C27" s="378" t="s">
        <v>57</v>
      </c>
      <c r="D27" s="379"/>
      <c r="E27" s="379"/>
      <c r="F27" s="380"/>
      <c r="G27" s="378" t="s">
        <v>88</v>
      </c>
      <c r="H27" s="379"/>
      <c r="I27" s="379"/>
      <c r="J27" s="380"/>
      <c r="K27" s="378" t="s">
        <v>307</v>
      </c>
      <c r="L27" s="379"/>
      <c r="M27" s="379"/>
      <c r="N27" s="380"/>
      <c r="O27" s="378" t="s">
        <v>127</v>
      </c>
      <c r="P27" s="379"/>
      <c r="Q27" s="379"/>
      <c r="R27" s="380"/>
      <c r="S27" s="378" t="s">
        <v>58</v>
      </c>
      <c r="T27" s="379"/>
      <c r="U27" s="379"/>
      <c r="V27" s="380"/>
      <c r="W27" s="111"/>
      <c r="X27" s="122"/>
      <c r="Y27" s="122"/>
      <c r="Z27" s="122"/>
    </row>
    <row r="28" spans="1:31" ht="30" customHeight="1">
      <c r="A28" s="376"/>
      <c r="B28" s="376"/>
      <c r="C28" s="392" t="s">
        <v>243</v>
      </c>
      <c r="D28" s="392" t="s">
        <v>244</v>
      </c>
      <c r="E28" s="392" t="s">
        <v>552</v>
      </c>
      <c r="F28" s="392" t="s">
        <v>553</v>
      </c>
      <c r="G28" s="392" t="s">
        <v>243</v>
      </c>
      <c r="H28" s="392" t="s">
        <v>244</v>
      </c>
      <c r="I28" s="392" t="s">
        <v>552</v>
      </c>
      <c r="J28" s="392" t="s">
        <v>553</v>
      </c>
      <c r="K28" s="392" t="s">
        <v>243</v>
      </c>
      <c r="L28" s="392" t="s">
        <v>244</v>
      </c>
      <c r="M28" s="392" t="s">
        <v>552</v>
      </c>
      <c r="N28" s="392" t="s">
        <v>553</v>
      </c>
      <c r="O28" s="392" t="s">
        <v>243</v>
      </c>
      <c r="P28" s="392" t="s">
        <v>244</v>
      </c>
      <c r="Q28" s="392" t="s">
        <v>552</v>
      </c>
      <c r="R28" s="392" t="s">
        <v>553</v>
      </c>
      <c r="S28" s="392" t="s">
        <v>243</v>
      </c>
      <c r="T28" s="392" t="s">
        <v>244</v>
      </c>
      <c r="U28" s="392" t="s">
        <v>552</v>
      </c>
      <c r="V28" s="392" t="s">
        <v>553</v>
      </c>
      <c r="W28" s="111"/>
      <c r="X28" s="122"/>
      <c r="Y28" s="122"/>
      <c r="Z28" s="122"/>
    </row>
    <row r="29" spans="1:31" ht="40" customHeight="1">
      <c r="A29" s="377"/>
      <c r="B29" s="377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111"/>
      <c r="X29" s="122"/>
      <c r="Y29" s="122"/>
      <c r="Z29" s="122"/>
    </row>
    <row r="30" spans="1:31" s="157" customFormat="1" ht="20.5">
      <c r="A30" s="154">
        <v>1</v>
      </c>
      <c r="B30" s="155">
        <v>2</v>
      </c>
      <c r="C30" s="165">
        <v>3</v>
      </c>
      <c r="D30" s="165">
        <v>4</v>
      </c>
      <c r="E30" s="165">
        <v>5</v>
      </c>
      <c r="F30" s="165">
        <v>6</v>
      </c>
      <c r="G30" s="165">
        <v>7</v>
      </c>
      <c r="H30" s="165">
        <v>8</v>
      </c>
      <c r="I30" s="165">
        <v>9</v>
      </c>
      <c r="J30" s="165">
        <v>10</v>
      </c>
      <c r="K30" s="187">
        <v>11</v>
      </c>
      <c r="L30" s="187">
        <v>12</v>
      </c>
      <c r="M30" s="187">
        <v>13</v>
      </c>
      <c r="N30" s="165">
        <v>14</v>
      </c>
      <c r="O30" s="165">
        <v>15</v>
      </c>
      <c r="P30" s="165">
        <v>16</v>
      </c>
      <c r="Q30" s="165">
        <v>17</v>
      </c>
      <c r="R30" s="165">
        <v>18</v>
      </c>
      <c r="S30" s="187">
        <v>19</v>
      </c>
      <c r="T30" s="187">
        <v>20</v>
      </c>
      <c r="U30" s="187">
        <v>21</v>
      </c>
      <c r="V30" s="165">
        <v>22</v>
      </c>
      <c r="W30" s="188"/>
      <c r="X30" s="189"/>
      <c r="Y30" s="189"/>
      <c r="Z30" s="158"/>
    </row>
    <row r="31" spans="1:31" s="158" customFormat="1" ht="36">
      <c r="A31" s="130">
        <v>1</v>
      </c>
      <c r="B31" s="155" t="s">
        <v>554</v>
      </c>
      <c r="C31" s="65"/>
      <c r="D31" s="65"/>
      <c r="E31" s="65"/>
      <c r="F31" s="65"/>
      <c r="G31" s="65">
        <v>1000</v>
      </c>
      <c r="H31" s="65">
        <v>737</v>
      </c>
      <c r="I31" s="131">
        <f>H31-G31</f>
        <v>-263</v>
      </c>
      <c r="J31" s="180">
        <f>H31/G31</f>
        <v>0.73699999999999999</v>
      </c>
      <c r="K31" s="171"/>
      <c r="L31" s="171"/>
      <c r="M31" s="131">
        <f>L31-K31</f>
        <v>0</v>
      </c>
      <c r="N31" s="180"/>
      <c r="O31" s="159"/>
      <c r="P31" s="160"/>
      <c r="Q31" s="161"/>
      <c r="R31" s="161"/>
      <c r="S31" s="174">
        <f>C31+G31+K31+O31</f>
        <v>1000</v>
      </c>
      <c r="T31" s="174">
        <f t="shared" ref="T31:T40" si="0">D31+H31+L31+P31</f>
        <v>737</v>
      </c>
      <c r="U31" s="174">
        <f t="shared" ref="U31:U40" si="1">E31+I31+M31+Q31</f>
        <v>-263</v>
      </c>
      <c r="V31" s="180">
        <f>T31/S31</f>
        <v>0.73699999999999999</v>
      </c>
    </row>
    <row r="32" spans="1:31" s="158" customFormat="1" ht="20.5">
      <c r="A32" s="130">
        <v>2</v>
      </c>
      <c r="B32" s="119" t="s">
        <v>555</v>
      </c>
      <c r="C32" s="65"/>
      <c r="D32" s="65"/>
      <c r="E32" s="65"/>
      <c r="F32" s="65"/>
      <c r="G32" s="65"/>
      <c r="H32" s="65"/>
      <c r="I32" s="131"/>
      <c r="J32" s="170"/>
      <c r="K32" s="172">
        <v>15</v>
      </c>
      <c r="L32" s="171"/>
      <c r="M32" s="131">
        <f t="shared" ref="M32:M53" si="2">L32-K32</f>
        <v>-15</v>
      </c>
      <c r="N32" s="180">
        <f t="shared" ref="N32:N40" si="3">L32/K32</f>
        <v>0</v>
      </c>
      <c r="O32" s="159"/>
      <c r="P32" s="160"/>
      <c r="Q32" s="161"/>
      <c r="R32" s="161"/>
      <c r="S32" s="174">
        <f t="shared" ref="S32:S40" si="4">C32+G32+K32+O32</f>
        <v>15</v>
      </c>
      <c r="T32" s="174">
        <f t="shared" si="0"/>
        <v>0</v>
      </c>
      <c r="U32" s="174">
        <f t="shared" si="1"/>
        <v>-15</v>
      </c>
      <c r="V32" s="180">
        <f t="shared" ref="V32:V40" si="5">T32/S32</f>
        <v>0</v>
      </c>
    </row>
    <row r="33" spans="1:26" s="158" customFormat="1" ht="20.5">
      <c r="A33" s="130">
        <v>3</v>
      </c>
      <c r="B33" s="119" t="s">
        <v>556</v>
      </c>
      <c r="C33" s="65"/>
      <c r="D33" s="65"/>
      <c r="E33" s="65"/>
      <c r="F33" s="65"/>
      <c r="G33" s="65"/>
      <c r="H33" s="65"/>
      <c r="I33" s="131"/>
      <c r="J33" s="170"/>
      <c r="K33" s="172">
        <v>30</v>
      </c>
      <c r="L33" s="171">
        <v>58</v>
      </c>
      <c r="M33" s="131">
        <f t="shared" si="2"/>
        <v>28</v>
      </c>
      <c r="N33" s="180">
        <f t="shared" si="3"/>
        <v>1.9333333333333333</v>
      </c>
      <c r="O33" s="159"/>
      <c r="P33" s="160"/>
      <c r="Q33" s="161"/>
      <c r="R33" s="161"/>
      <c r="S33" s="174">
        <f t="shared" si="4"/>
        <v>30</v>
      </c>
      <c r="T33" s="174">
        <f t="shared" si="0"/>
        <v>58</v>
      </c>
      <c r="U33" s="174">
        <f t="shared" si="1"/>
        <v>28</v>
      </c>
      <c r="V33" s="180">
        <f t="shared" si="5"/>
        <v>1.9333333333333333</v>
      </c>
    </row>
    <row r="34" spans="1:26" s="158" customFormat="1" ht="20.5">
      <c r="A34" s="130">
        <v>4</v>
      </c>
      <c r="B34" s="119" t="s">
        <v>557</v>
      </c>
      <c r="C34" s="65"/>
      <c r="D34" s="65"/>
      <c r="E34" s="65"/>
      <c r="F34" s="65"/>
      <c r="G34" s="65"/>
      <c r="H34" s="65"/>
      <c r="I34" s="131"/>
      <c r="J34" s="170"/>
      <c r="K34" s="172">
        <v>18</v>
      </c>
      <c r="L34" s="171"/>
      <c r="M34" s="131">
        <f t="shared" si="2"/>
        <v>-18</v>
      </c>
      <c r="N34" s="180">
        <f t="shared" si="3"/>
        <v>0</v>
      </c>
      <c r="O34" s="159"/>
      <c r="P34" s="160"/>
      <c r="Q34" s="161"/>
      <c r="R34" s="161"/>
      <c r="S34" s="174">
        <f t="shared" si="4"/>
        <v>18</v>
      </c>
      <c r="T34" s="174">
        <f t="shared" si="0"/>
        <v>0</v>
      </c>
      <c r="U34" s="174">
        <f t="shared" si="1"/>
        <v>-18</v>
      </c>
      <c r="V34" s="180">
        <f t="shared" si="5"/>
        <v>0</v>
      </c>
    </row>
    <row r="35" spans="1:26" s="158" customFormat="1" ht="20.5">
      <c r="A35" s="130">
        <v>5</v>
      </c>
      <c r="B35" s="119" t="s">
        <v>558</v>
      </c>
      <c r="C35" s="65"/>
      <c r="D35" s="65"/>
      <c r="E35" s="65"/>
      <c r="F35" s="65"/>
      <c r="G35" s="65"/>
      <c r="H35" s="65"/>
      <c r="I35" s="131"/>
      <c r="J35" s="170"/>
      <c r="K35" s="172">
        <v>17</v>
      </c>
      <c r="L35" s="171">
        <v>22</v>
      </c>
      <c r="M35" s="131">
        <f t="shared" si="2"/>
        <v>5</v>
      </c>
      <c r="N35" s="180">
        <f t="shared" si="3"/>
        <v>1.2941176470588236</v>
      </c>
      <c r="O35" s="159"/>
      <c r="P35" s="160"/>
      <c r="Q35" s="161"/>
      <c r="R35" s="161"/>
      <c r="S35" s="174">
        <f t="shared" si="4"/>
        <v>17</v>
      </c>
      <c r="T35" s="174">
        <f t="shared" si="0"/>
        <v>22</v>
      </c>
      <c r="U35" s="174">
        <f t="shared" si="1"/>
        <v>5</v>
      </c>
      <c r="V35" s="180">
        <f t="shared" si="5"/>
        <v>1.2941176470588236</v>
      </c>
    </row>
    <row r="36" spans="1:26" s="158" customFormat="1" ht="20.5">
      <c r="A36" s="130">
        <v>6</v>
      </c>
      <c r="B36" s="119" t="s">
        <v>559</v>
      </c>
      <c r="C36" s="65"/>
      <c r="D36" s="65"/>
      <c r="E36" s="65"/>
      <c r="F36" s="65"/>
      <c r="G36" s="65"/>
      <c r="H36" s="65"/>
      <c r="I36" s="131"/>
      <c r="J36" s="170"/>
      <c r="K36" s="172">
        <v>15</v>
      </c>
      <c r="L36" s="171">
        <v>7</v>
      </c>
      <c r="M36" s="131">
        <f t="shared" si="2"/>
        <v>-8</v>
      </c>
      <c r="N36" s="180">
        <f t="shared" si="3"/>
        <v>0.46666666666666667</v>
      </c>
      <c r="O36" s="159"/>
      <c r="P36" s="160"/>
      <c r="Q36" s="161"/>
      <c r="R36" s="161"/>
      <c r="S36" s="174">
        <f t="shared" si="4"/>
        <v>15</v>
      </c>
      <c r="T36" s="174">
        <f t="shared" si="0"/>
        <v>7</v>
      </c>
      <c r="U36" s="174">
        <f t="shared" si="1"/>
        <v>-8</v>
      </c>
      <c r="V36" s="180">
        <f t="shared" si="5"/>
        <v>0.46666666666666667</v>
      </c>
    </row>
    <row r="37" spans="1:26" s="158" customFormat="1" ht="20.5">
      <c r="A37" s="130">
        <v>7</v>
      </c>
      <c r="B37" s="119" t="s">
        <v>560</v>
      </c>
      <c r="C37" s="65"/>
      <c r="D37" s="65"/>
      <c r="E37" s="65"/>
      <c r="F37" s="65"/>
      <c r="G37" s="65"/>
      <c r="H37" s="65"/>
      <c r="I37" s="131"/>
      <c r="J37" s="170"/>
      <c r="K37" s="172">
        <v>9</v>
      </c>
      <c r="L37" s="171"/>
      <c r="M37" s="131">
        <f t="shared" si="2"/>
        <v>-9</v>
      </c>
      <c r="N37" s="180">
        <f t="shared" si="3"/>
        <v>0</v>
      </c>
      <c r="O37" s="159"/>
      <c r="P37" s="160"/>
      <c r="Q37" s="161"/>
      <c r="R37" s="161"/>
      <c r="S37" s="174">
        <f t="shared" si="4"/>
        <v>9</v>
      </c>
      <c r="T37" s="174">
        <f t="shared" si="0"/>
        <v>0</v>
      </c>
      <c r="U37" s="174">
        <f t="shared" si="1"/>
        <v>-9</v>
      </c>
      <c r="V37" s="180">
        <f t="shared" si="5"/>
        <v>0</v>
      </c>
    </row>
    <row r="38" spans="1:26" s="158" customFormat="1" ht="20.5">
      <c r="A38" s="130">
        <v>8</v>
      </c>
      <c r="B38" s="119" t="s">
        <v>561</v>
      </c>
      <c r="C38" s="65"/>
      <c r="D38" s="65"/>
      <c r="E38" s="65"/>
      <c r="F38" s="65"/>
      <c r="G38" s="65"/>
      <c r="H38" s="65"/>
      <c r="I38" s="131"/>
      <c r="J38" s="170"/>
      <c r="K38" s="172">
        <v>17</v>
      </c>
      <c r="L38" s="171">
        <v>127</v>
      </c>
      <c r="M38" s="131">
        <f t="shared" si="2"/>
        <v>110</v>
      </c>
      <c r="N38" s="180">
        <f t="shared" si="3"/>
        <v>7.4705882352941178</v>
      </c>
      <c r="O38" s="159"/>
      <c r="P38" s="160"/>
      <c r="Q38" s="161"/>
      <c r="R38" s="161"/>
      <c r="S38" s="174">
        <f t="shared" si="4"/>
        <v>17</v>
      </c>
      <c r="T38" s="174">
        <f t="shared" si="0"/>
        <v>127</v>
      </c>
      <c r="U38" s="174">
        <f t="shared" si="1"/>
        <v>110</v>
      </c>
      <c r="V38" s="180">
        <f t="shared" si="5"/>
        <v>7.4705882352941178</v>
      </c>
    </row>
    <row r="39" spans="1:26" s="158" customFormat="1" ht="20.5">
      <c r="A39" s="130">
        <v>9</v>
      </c>
      <c r="B39" s="119" t="s">
        <v>562</v>
      </c>
      <c r="C39" s="65"/>
      <c r="D39" s="65"/>
      <c r="E39" s="65"/>
      <c r="F39" s="65"/>
      <c r="G39" s="65"/>
      <c r="H39" s="65"/>
      <c r="I39" s="131"/>
      <c r="J39" s="170"/>
      <c r="K39" s="172">
        <v>10</v>
      </c>
      <c r="L39" s="171">
        <f>32+14</f>
        <v>46</v>
      </c>
      <c r="M39" s="131">
        <f t="shared" si="2"/>
        <v>36</v>
      </c>
      <c r="N39" s="180">
        <f t="shared" si="3"/>
        <v>4.5999999999999996</v>
      </c>
      <c r="O39" s="159"/>
      <c r="P39" s="160"/>
      <c r="Q39" s="161"/>
      <c r="R39" s="161"/>
      <c r="S39" s="174">
        <f t="shared" si="4"/>
        <v>10</v>
      </c>
      <c r="T39" s="174">
        <f t="shared" si="0"/>
        <v>46</v>
      </c>
      <c r="U39" s="174">
        <f t="shared" si="1"/>
        <v>36</v>
      </c>
      <c r="V39" s="180">
        <f t="shared" si="5"/>
        <v>4.5999999999999996</v>
      </c>
    </row>
    <row r="40" spans="1:26" s="158" customFormat="1" ht="20.5">
      <c r="A40" s="130">
        <v>10</v>
      </c>
      <c r="B40" s="119" t="s">
        <v>563</v>
      </c>
      <c r="C40" s="65"/>
      <c r="D40" s="65"/>
      <c r="E40" s="65"/>
      <c r="F40" s="65"/>
      <c r="G40" s="65"/>
      <c r="H40" s="65"/>
      <c r="I40" s="131"/>
      <c r="J40" s="170"/>
      <c r="K40" s="172">
        <v>100</v>
      </c>
      <c r="L40" s="171"/>
      <c r="M40" s="131">
        <f t="shared" si="2"/>
        <v>-100</v>
      </c>
      <c r="N40" s="180">
        <f t="shared" si="3"/>
        <v>0</v>
      </c>
      <c r="O40" s="159"/>
      <c r="P40" s="160"/>
      <c r="Q40" s="161"/>
      <c r="R40" s="161"/>
      <c r="S40" s="174">
        <f t="shared" si="4"/>
        <v>100</v>
      </c>
      <c r="T40" s="174">
        <f t="shared" si="0"/>
        <v>0</v>
      </c>
      <c r="U40" s="174">
        <f t="shared" si="1"/>
        <v>-100</v>
      </c>
      <c r="V40" s="180">
        <f t="shared" si="5"/>
        <v>0</v>
      </c>
    </row>
    <row r="41" spans="1:26" s="157" customFormat="1" ht="20.5">
      <c r="A41" s="154">
        <v>11</v>
      </c>
      <c r="B41" s="155" t="s">
        <v>541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>
        <v>176</v>
      </c>
      <c r="M41" s="131">
        <f t="shared" si="2"/>
        <v>176</v>
      </c>
      <c r="N41" s="180"/>
      <c r="O41" s="154"/>
      <c r="P41" s="154"/>
      <c r="Q41" s="156"/>
      <c r="R41" s="156"/>
      <c r="S41" s="174">
        <f t="shared" ref="S41:S55" si="6">C41+G41+K41+O41</f>
        <v>0</v>
      </c>
      <c r="T41" s="174">
        <f t="shared" ref="T41:T55" si="7">D41+H41+L41+P41</f>
        <v>176</v>
      </c>
      <c r="U41" s="174">
        <f t="shared" ref="U41:U55" si="8">E41+I41+M41+Q41</f>
        <v>176</v>
      </c>
      <c r="V41" s="180"/>
      <c r="X41" s="158"/>
      <c r="Y41" s="158"/>
      <c r="Z41" s="158"/>
    </row>
    <row r="42" spans="1:26" s="158" customFormat="1" ht="20.5">
      <c r="A42" s="130">
        <v>12</v>
      </c>
      <c r="B42" s="155" t="s">
        <v>572</v>
      </c>
      <c r="C42" s="65"/>
      <c r="D42" s="65"/>
      <c r="E42" s="65"/>
      <c r="F42" s="65"/>
      <c r="G42" s="65"/>
      <c r="H42" s="65"/>
      <c r="I42" s="131"/>
      <c r="J42" s="170"/>
      <c r="K42" s="173"/>
      <c r="L42" s="171">
        <v>602</v>
      </c>
      <c r="M42" s="131">
        <f t="shared" si="2"/>
        <v>602</v>
      </c>
      <c r="N42" s="180"/>
      <c r="O42" s="159"/>
      <c r="P42" s="160"/>
      <c r="Q42" s="161"/>
      <c r="R42" s="161"/>
      <c r="S42" s="174">
        <f t="shared" si="6"/>
        <v>0</v>
      </c>
      <c r="T42" s="174">
        <f t="shared" si="7"/>
        <v>602</v>
      </c>
      <c r="U42" s="174">
        <f t="shared" si="8"/>
        <v>602</v>
      </c>
      <c r="V42" s="180"/>
    </row>
    <row r="43" spans="1:26" s="158" customFormat="1" ht="20.5">
      <c r="A43" s="130">
        <v>13</v>
      </c>
      <c r="B43" s="155" t="s">
        <v>586</v>
      </c>
      <c r="C43" s="65"/>
      <c r="D43" s="65"/>
      <c r="E43" s="65"/>
      <c r="F43" s="65"/>
      <c r="G43" s="65"/>
      <c r="H43" s="65"/>
      <c r="I43" s="131"/>
      <c r="J43" s="170"/>
      <c r="K43" s="173"/>
      <c r="L43" s="171">
        <v>84</v>
      </c>
      <c r="M43" s="131">
        <f t="shared" si="2"/>
        <v>84</v>
      </c>
      <c r="N43" s="180"/>
      <c r="O43" s="159"/>
      <c r="P43" s="160"/>
      <c r="Q43" s="161"/>
      <c r="R43" s="161"/>
      <c r="S43" s="174">
        <f t="shared" si="6"/>
        <v>0</v>
      </c>
      <c r="T43" s="174">
        <f t="shared" si="7"/>
        <v>84</v>
      </c>
      <c r="U43" s="174">
        <f t="shared" si="8"/>
        <v>84</v>
      </c>
      <c r="V43" s="180"/>
    </row>
    <row r="44" spans="1:26" s="158" customFormat="1" ht="20.5">
      <c r="A44" s="130">
        <v>14</v>
      </c>
      <c r="B44" s="155" t="s">
        <v>531</v>
      </c>
      <c r="C44" s="65"/>
      <c r="D44" s="65"/>
      <c r="E44" s="65"/>
      <c r="F44" s="65"/>
      <c r="G44" s="65"/>
      <c r="H44" s="65"/>
      <c r="I44" s="131"/>
      <c r="J44" s="170"/>
      <c r="K44" s="173"/>
      <c r="L44" s="171">
        <v>2</v>
      </c>
      <c r="M44" s="131">
        <f t="shared" si="2"/>
        <v>2</v>
      </c>
      <c r="N44" s="180"/>
      <c r="O44" s="159"/>
      <c r="P44" s="160"/>
      <c r="Q44" s="161"/>
      <c r="R44" s="161"/>
      <c r="S44" s="174">
        <f t="shared" si="6"/>
        <v>0</v>
      </c>
      <c r="T44" s="174">
        <f t="shared" si="7"/>
        <v>2</v>
      </c>
      <c r="U44" s="174">
        <f t="shared" si="8"/>
        <v>2</v>
      </c>
      <c r="V44" s="180"/>
    </row>
    <row r="45" spans="1:26" s="158" customFormat="1" ht="20.5">
      <c r="A45" s="130">
        <v>15</v>
      </c>
      <c r="B45" s="155" t="s">
        <v>542</v>
      </c>
      <c r="C45" s="65"/>
      <c r="D45" s="65"/>
      <c r="E45" s="65"/>
      <c r="F45" s="65"/>
      <c r="G45" s="65"/>
      <c r="H45" s="65"/>
      <c r="I45" s="131"/>
      <c r="J45" s="170"/>
      <c r="K45" s="173"/>
      <c r="L45" s="171">
        <v>50</v>
      </c>
      <c r="M45" s="131">
        <f t="shared" si="2"/>
        <v>50</v>
      </c>
      <c r="N45" s="180"/>
      <c r="O45" s="159"/>
      <c r="P45" s="160"/>
      <c r="Q45" s="161"/>
      <c r="R45" s="161"/>
      <c r="S45" s="174">
        <f t="shared" si="6"/>
        <v>0</v>
      </c>
      <c r="T45" s="174">
        <f t="shared" si="7"/>
        <v>50</v>
      </c>
      <c r="U45" s="174">
        <f t="shared" si="8"/>
        <v>50</v>
      </c>
      <c r="V45" s="180"/>
    </row>
    <row r="46" spans="1:26" s="158" customFormat="1" ht="20.5">
      <c r="A46" s="130">
        <v>16</v>
      </c>
      <c r="B46" s="155" t="s">
        <v>573</v>
      </c>
      <c r="C46" s="65"/>
      <c r="D46" s="65"/>
      <c r="E46" s="65"/>
      <c r="F46" s="65"/>
      <c r="G46" s="65"/>
      <c r="H46" s="65"/>
      <c r="I46" s="131"/>
      <c r="J46" s="170"/>
      <c r="K46" s="173"/>
      <c r="L46" s="171">
        <v>696</v>
      </c>
      <c r="M46" s="131">
        <f t="shared" si="2"/>
        <v>696</v>
      </c>
      <c r="N46" s="180"/>
      <c r="O46" s="159"/>
      <c r="P46" s="160"/>
      <c r="Q46" s="161"/>
      <c r="R46" s="161"/>
      <c r="S46" s="174">
        <f t="shared" si="6"/>
        <v>0</v>
      </c>
      <c r="T46" s="174">
        <f t="shared" si="7"/>
        <v>696</v>
      </c>
      <c r="U46" s="174">
        <f t="shared" si="8"/>
        <v>696</v>
      </c>
      <c r="V46" s="180"/>
    </row>
    <row r="47" spans="1:26" s="158" customFormat="1" ht="20.5">
      <c r="A47" s="130">
        <v>17</v>
      </c>
      <c r="B47" s="155" t="s">
        <v>576</v>
      </c>
      <c r="C47" s="65"/>
      <c r="D47" s="65"/>
      <c r="E47" s="65"/>
      <c r="F47" s="65"/>
      <c r="G47" s="65"/>
      <c r="H47" s="65"/>
      <c r="I47" s="131"/>
      <c r="J47" s="170"/>
      <c r="K47" s="173"/>
      <c r="L47" s="171">
        <v>63</v>
      </c>
      <c r="M47" s="131">
        <f t="shared" si="2"/>
        <v>63</v>
      </c>
      <c r="N47" s="180"/>
      <c r="O47" s="159"/>
      <c r="P47" s="160"/>
      <c r="Q47" s="161"/>
      <c r="R47" s="161"/>
      <c r="S47" s="174">
        <f t="shared" si="6"/>
        <v>0</v>
      </c>
      <c r="T47" s="174">
        <f t="shared" si="7"/>
        <v>63</v>
      </c>
      <c r="U47" s="174">
        <f t="shared" si="8"/>
        <v>63</v>
      </c>
      <c r="V47" s="180"/>
    </row>
    <row r="48" spans="1:26" s="158" customFormat="1" ht="20.5">
      <c r="A48" s="130">
        <v>18</v>
      </c>
      <c r="B48" s="155" t="s">
        <v>543</v>
      </c>
      <c r="C48" s="65"/>
      <c r="D48" s="65"/>
      <c r="E48" s="65"/>
      <c r="F48" s="65"/>
      <c r="G48" s="65"/>
      <c r="H48" s="65"/>
      <c r="I48" s="131"/>
      <c r="J48" s="170"/>
      <c r="K48" s="171"/>
      <c r="L48" s="179">
        <v>108</v>
      </c>
      <c r="M48" s="131">
        <f t="shared" si="2"/>
        <v>108</v>
      </c>
      <c r="N48" s="180"/>
      <c r="O48" s="159"/>
      <c r="P48" s="160"/>
      <c r="Q48" s="161"/>
      <c r="R48" s="161"/>
      <c r="S48" s="174">
        <f t="shared" si="6"/>
        <v>0</v>
      </c>
      <c r="T48" s="174">
        <f t="shared" si="7"/>
        <v>108</v>
      </c>
      <c r="U48" s="174">
        <f t="shared" si="8"/>
        <v>108</v>
      </c>
      <c r="V48" s="180"/>
    </row>
    <row r="49" spans="1:26" s="158" customFormat="1" ht="20.5">
      <c r="A49" s="130">
        <v>19</v>
      </c>
      <c r="B49" s="155" t="s">
        <v>574</v>
      </c>
      <c r="C49" s="65"/>
      <c r="D49" s="65"/>
      <c r="E49" s="65"/>
      <c r="F49" s="65"/>
      <c r="G49" s="65"/>
      <c r="H49" s="65"/>
      <c r="I49" s="131"/>
      <c r="J49" s="170"/>
      <c r="K49" s="171"/>
      <c r="L49" s="179">
        <v>9</v>
      </c>
      <c r="M49" s="131">
        <f t="shared" si="2"/>
        <v>9</v>
      </c>
      <c r="N49" s="180"/>
      <c r="O49" s="159"/>
      <c r="P49" s="160"/>
      <c r="Q49" s="161"/>
      <c r="R49" s="161"/>
      <c r="S49" s="174">
        <f t="shared" si="6"/>
        <v>0</v>
      </c>
      <c r="T49" s="174">
        <f t="shared" si="7"/>
        <v>9</v>
      </c>
      <c r="U49" s="174">
        <f t="shared" si="8"/>
        <v>9</v>
      </c>
      <c r="V49" s="180"/>
    </row>
    <row r="50" spans="1:26" s="158" customFormat="1" ht="20.5">
      <c r="A50" s="130">
        <v>20</v>
      </c>
      <c r="B50" s="155" t="s">
        <v>575</v>
      </c>
      <c r="C50" s="65"/>
      <c r="D50" s="65"/>
      <c r="E50" s="65"/>
      <c r="F50" s="65"/>
      <c r="G50" s="65"/>
      <c r="H50" s="65"/>
      <c r="I50" s="131"/>
      <c r="J50" s="170"/>
      <c r="K50" s="171"/>
      <c r="L50" s="171">
        <v>10</v>
      </c>
      <c r="M50" s="131">
        <f t="shared" si="2"/>
        <v>10</v>
      </c>
      <c r="N50" s="180"/>
      <c r="O50" s="159"/>
      <c r="P50" s="160"/>
      <c r="Q50" s="161"/>
      <c r="R50" s="161"/>
      <c r="S50" s="174">
        <f t="shared" si="6"/>
        <v>0</v>
      </c>
      <c r="T50" s="174">
        <f t="shared" si="7"/>
        <v>10</v>
      </c>
      <c r="U50" s="174">
        <f t="shared" si="8"/>
        <v>10</v>
      </c>
      <c r="V50" s="180"/>
    </row>
    <row r="51" spans="1:26" s="158" customFormat="1" ht="22" customHeight="1">
      <c r="A51" s="130">
        <v>21</v>
      </c>
      <c r="B51" s="155" t="s">
        <v>544</v>
      </c>
      <c r="C51" s="65"/>
      <c r="D51" s="65"/>
      <c r="E51" s="65"/>
      <c r="F51" s="65"/>
      <c r="G51" s="65"/>
      <c r="H51" s="65"/>
      <c r="I51" s="131"/>
      <c r="J51" s="170"/>
      <c r="K51" s="171"/>
      <c r="L51" s="171">
        <v>101</v>
      </c>
      <c r="M51" s="131">
        <f t="shared" si="2"/>
        <v>101</v>
      </c>
      <c r="N51" s="180"/>
      <c r="O51" s="159"/>
      <c r="P51" s="160"/>
      <c r="Q51" s="161"/>
      <c r="R51" s="161"/>
      <c r="S51" s="174">
        <f t="shared" si="6"/>
        <v>0</v>
      </c>
      <c r="T51" s="174">
        <f t="shared" si="7"/>
        <v>101</v>
      </c>
      <c r="U51" s="174">
        <f t="shared" si="8"/>
        <v>101</v>
      </c>
      <c r="V51" s="180"/>
    </row>
    <row r="52" spans="1:26" s="158" customFormat="1" ht="20.5">
      <c r="A52" s="130">
        <v>22</v>
      </c>
      <c r="B52" s="155" t="s">
        <v>577</v>
      </c>
      <c r="C52" s="65"/>
      <c r="D52" s="65"/>
      <c r="E52" s="65"/>
      <c r="F52" s="65"/>
      <c r="G52" s="65"/>
      <c r="H52" s="65"/>
      <c r="I52" s="131"/>
      <c r="J52" s="170"/>
      <c r="K52" s="171"/>
      <c r="L52" s="171">
        <v>555</v>
      </c>
      <c r="M52" s="131">
        <f t="shared" si="2"/>
        <v>555</v>
      </c>
      <c r="N52" s="180"/>
      <c r="O52" s="159"/>
      <c r="P52" s="160"/>
      <c r="Q52" s="161"/>
      <c r="R52" s="161"/>
      <c r="S52" s="174">
        <f t="shared" si="6"/>
        <v>0</v>
      </c>
      <c r="T52" s="174">
        <f t="shared" si="7"/>
        <v>555</v>
      </c>
      <c r="U52" s="174">
        <f t="shared" si="8"/>
        <v>555</v>
      </c>
      <c r="V52" s="180"/>
    </row>
    <row r="53" spans="1:26" s="158" customFormat="1" ht="20.5">
      <c r="A53" s="130">
        <v>23</v>
      </c>
      <c r="B53" s="155" t="s">
        <v>545</v>
      </c>
      <c r="C53" s="65"/>
      <c r="D53" s="65"/>
      <c r="E53" s="65"/>
      <c r="F53" s="65"/>
      <c r="G53" s="65"/>
      <c r="H53" s="65"/>
      <c r="I53" s="131"/>
      <c r="J53" s="170"/>
      <c r="K53" s="171"/>
      <c r="L53" s="171">
        <v>36</v>
      </c>
      <c r="M53" s="131">
        <f t="shared" si="2"/>
        <v>36</v>
      </c>
      <c r="N53" s="180"/>
      <c r="O53" s="159"/>
      <c r="P53" s="160"/>
      <c r="Q53" s="161"/>
      <c r="R53" s="161"/>
      <c r="S53" s="174">
        <f t="shared" si="6"/>
        <v>0</v>
      </c>
      <c r="T53" s="174">
        <f t="shared" si="7"/>
        <v>36</v>
      </c>
      <c r="U53" s="174">
        <f t="shared" si="8"/>
        <v>36</v>
      </c>
      <c r="V53" s="180"/>
    </row>
    <row r="54" spans="1:26" s="158" customFormat="1" ht="20.5">
      <c r="A54" s="130">
        <v>24</v>
      </c>
      <c r="B54" s="186" t="s">
        <v>583</v>
      </c>
      <c r="C54" s="65"/>
      <c r="D54" s="65"/>
      <c r="E54" s="65"/>
      <c r="F54" s="65"/>
      <c r="G54" s="65"/>
      <c r="H54" s="65"/>
      <c r="I54" s="131"/>
      <c r="J54" s="170"/>
      <c r="K54" s="171"/>
      <c r="L54" s="171">
        <v>83</v>
      </c>
      <c r="M54" s="131">
        <f t="shared" ref="M54:M56" si="9">L54-K54</f>
        <v>83</v>
      </c>
      <c r="N54" s="180"/>
      <c r="O54" s="159"/>
      <c r="P54" s="160"/>
      <c r="Q54" s="161"/>
      <c r="R54" s="161"/>
      <c r="S54" s="174">
        <f t="shared" si="6"/>
        <v>0</v>
      </c>
      <c r="T54" s="174">
        <f t="shared" si="7"/>
        <v>83</v>
      </c>
      <c r="U54" s="174">
        <f t="shared" si="8"/>
        <v>83</v>
      </c>
      <c r="V54" s="180"/>
    </row>
    <row r="55" spans="1:26" s="158" customFormat="1" ht="20.5">
      <c r="A55" s="130">
        <v>25</v>
      </c>
      <c r="B55" s="186" t="s">
        <v>584</v>
      </c>
      <c r="C55" s="65"/>
      <c r="D55" s="65"/>
      <c r="E55" s="65"/>
      <c r="F55" s="65"/>
      <c r="G55" s="65"/>
      <c r="H55" s="65"/>
      <c r="I55" s="131"/>
      <c r="J55" s="170"/>
      <c r="K55" s="171"/>
      <c r="L55" s="171">
        <f>36+27</f>
        <v>63</v>
      </c>
      <c r="M55" s="131">
        <f t="shared" si="9"/>
        <v>63</v>
      </c>
      <c r="N55" s="180"/>
      <c r="O55" s="159"/>
      <c r="P55" s="160"/>
      <c r="Q55" s="161"/>
      <c r="R55" s="161"/>
      <c r="S55" s="174">
        <f t="shared" si="6"/>
        <v>0</v>
      </c>
      <c r="T55" s="174">
        <f t="shared" si="7"/>
        <v>63</v>
      </c>
      <c r="U55" s="174">
        <f t="shared" si="8"/>
        <v>63</v>
      </c>
      <c r="V55" s="180"/>
    </row>
    <row r="56" spans="1:26" s="158" customFormat="1" ht="20.5">
      <c r="A56" s="130">
        <v>26</v>
      </c>
      <c r="B56" s="186" t="s">
        <v>585</v>
      </c>
      <c r="C56" s="65"/>
      <c r="D56" s="65"/>
      <c r="E56" s="65"/>
      <c r="F56" s="65"/>
      <c r="G56" s="65"/>
      <c r="H56" s="65"/>
      <c r="I56" s="131"/>
      <c r="J56" s="170"/>
      <c r="K56" s="171"/>
      <c r="L56" s="171">
        <v>50</v>
      </c>
      <c r="M56" s="131">
        <f t="shared" si="9"/>
        <v>50</v>
      </c>
      <c r="N56" s="180"/>
      <c r="O56" s="159"/>
      <c r="P56" s="160"/>
      <c r="Q56" s="161"/>
      <c r="R56" s="161"/>
      <c r="S56" s="174"/>
      <c r="T56" s="174"/>
      <c r="U56" s="174"/>
      <c r="V56" s="181"/>
    </row>
    <row r="57" spans="1:26" s="157" customFormat="1" ht="20.5">
      <c r="A57" s="381" t="s">
        <v>58</v>
      </c>
      <c r="B57" s="382"/>
      <c r="C57" s="166">
        <f t="shared" ref="C57:R57" si="10">SUM(C31:C53)</f>
        <v>0</v>
      </c>
      <c r="D57" s="166">
        <f t="shared" si="10"/>
        <v>0</v>
      </c>
      <c r="E57" s="166">
        <f t="shared" si="10"/>
        <v>0</v>
      </c>
      <c r="F57" s="166">
        <f t="shared" si="10"/>
        <v>0</v>
      </c>
      <c r="G57" s="166">
        <f t="shared" si="10"/>
        <v>1000</v>
      </c>
      <c r="H57" s="166">
        <f t="shared" si="10"/>
        <v>737</v>
      </c>
      <c r="I57" s="166">
        <f t="shared" si="10"/>
        <v>-263</v>
      </c>
      <c r="J57" s="166">
        <f t="shared" si="10"/>
        <v>0.73699999999999999</v>
      </c>
      <c r="K57" s="166">
        <f t="shared" si="10"/>
        <v>231</v>
      </c>
      <c r="L57" s="166">
        <f>SUM(L31:L56)</f>
        <v>2948</v>
      </c>
      <c r="M57" s="166">
        <f>SUM(M31:M56)</f>
        <v>2717</v>
      </c>
      <c r="N57" s="166">
        <f t="shared" si="10"/>
        <v>15.76470588235294</v>
      </c>
      <c r="O57" s="166">
        <f t="shared" si="10"/>
        <v>0</v>
      </c>
      <c r="P57" s="166">
        <f t="shared" si="10"/>
        <v>0</v>
      </c>
      <c r="Q57" s="166">
        <f t="shared" si="10"/>
        <v>0</v>
      </c>
      <c r="R57" s="166">
        <f t="shared" si="10"/>
        <v>0</v>
      </c>
      <c r="S57" s="166">
        <f t="shared" ref="S57:U57" si="11">SUM(S31:S56)</f>
        <v>1231</v>
      </c>
      <c r="T57" s="166">
        <f t="shared" si="11"/>
        <v>3635</v>
      </c>
      <c r="U57" s="166">
        <f t="shared" si="11"/>
        <v>2404</v>
      </c>
      <c r="V57" s="166"/>
      <c r="X57" s="158"/>
      <c r="Y57" s="158"/>
      <c r="Z57" s="158"/>
    </row>
    <row r="58" spans="1:26" s="157" customFormat="1" ht="20.5">
      <c r="A58" s="381" t="s">
        <v>59</v>
      </c>
      <c r="B58" s="382"/>
      <c r="C58" s="154"/>
      <c r="D58" s="154"/>
      <c r="E58" s="154"/>
      <c r="F58" s="154"/>
      <c r="G58" s="167"/>
      <c r="H58" s="154">
        <v>0</v>
      </c>
      <c r="I58" s="154">
        <v>0</v>
      </c>
      <c r="J58" s="154">
        <v>0</v>
      </c>
      <c r="K58" s="154"/>
      <c r="L58" s="154"/>
      <c r="M58" s="154"/>
      <c r="N58" s="154"/>
      <c r="O58" s="154"/>
      <c r="P58" s="154"/>
      <c r="Q58" s="156"/>
      <c r="R58" s="156"/>
      <c r="S58" s="174">
        <f t="shared" ref="S58" si="12">C58+G58+K58+O58</f>
        <v>0</v>
      </c>
      <c r="T58" s="174">
        <f t="shared" ref="T58" si="13">D58+H58+L58+P58</f>
        <v>0</v>
      </c>
      <c r="U58" s="174">
        <f t="shared" ref="U58" si="14">E58+I58+M58+Q58</f>
        <v>0</v>
      </c>
      <c r="V58" s="174">
        <f t="shared" ref="V58" si="15">F58+J58+N58+R58</f>
        <v>0</v>
      </c>
      <c r="X58" s="158"/>
      <c r="Y58" s="158"/>
      <c r="Z58" s="158"/>
    </row>
    <row r="59" spans="1:26" ht="18" customHeight="1">
      <c r="A59" s="132"/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14"/>
      <c r="T59" s="114"/>
      <c r="V59" s="111"/>
      <c r="W59" s="111"/>
      <c r="X59" s="122"/>
      <c r="Y59" s="122"/>
      <c r="Z59" s="122"/>
    </row>
    <row r="60" spans="1:26" s="115" customFormat="1" ht="20.5" customHeight="1">
      <c r="B60" s="115" t="s">
        <v>251</v>
      </c>
      <c r="S60" s="124"/>
      <c r="T60" s="124"/>
      <c r="U60" s="124"/>
      <c r="X60" s="126"/>
      <c r="Y60" s="126"/>
      <c r="Z60" s="126"/>
    </row>
    <row r="61" spans="1:26" s="135" customFormat="1" ht="20.5">
      <c r="A61" s="111"/>
      <c r="B61" s="111"/>
      <c r="C61" s="111"/>
      <c r="D61" s="111"/>
      <c r="E61" s="111"/>
      <c r="F61" s="111"/>
      <c r="G61" s="111"/>
      <c r="H61" s="111"/>
      <c r="I61" s="111"/>
      <c r="K61" s="111"/>
      <c r="N61" s="136"/>
      <c r="O61" s="136"/>
      <c r="P61" s="129" t="s">
        <v>233</v>
      </c>
      <c r="S61" s="137"/>
      <c r="T61" s="137"/>
      <c r="U61" s="137"/>
      <c r="X61" s="136"/>
      <c r="Y61" s="136"/>
      <c r="Z61" s="129"/>
    </row>
    <row r="62" spans="1:26" s="138" customFormat="1">
      <c r="A62" s="383" t="s">
        <v>206</v>
      </c>
      <c r="B62" s="375" t="s">
        <v>508</v>
      </c>
      <c r="C62" s="386" t="s">
        <v>509</v>
      </c>
      <c r="D62" s="387"/>
      <c r="E62" s="375" t="s">
        <v>207</v>
      </c>
      <c r="F62" s="375" t="s">
        <v>208</v>
      </c>
      <c r="G62" s="375" t="s">
        <v>510</v>
      </c>
      <c r="H62" s="378" t="s">
        <v>511</v>
      </c>
      <c r="I62" s="379"/>
      <c r="J62" s="379"/>
      <c r="K62" s="379"/>
      <c r="L62" s="380"/>
      <c r="M62" s="375" t="s">
        <v>512</v>
      </c>
      <c r="N62" s="375" t="s">
        <v>329</v>
      </c>
    </row>
    <row r="63" spans="1:26" s="138" customFormat="1">
      <c r="A63" s="384"/>
      <c r="B63" s="376"/>
      <c r="C63" s="388"/>
      <c r="D63" s="389"/>
      <c r="E63" s="376"/>
      <c r="F63" s="376"/>
      <c r="G63" s="376"/>
      <c r="H63" s="375" t="s">
        <v>302</v>
      </c>
      <c r="I63" s="375" t="s">
        <v>305</v>
      </c>
      <c r="J63" s="378" t="s">
        <v>306</v>
      </c>
      <c r="K63" s="379"/>
      <c r="L63" s="380"/>
      <c r="M63" s="376"/>
      <c r="N63" s="376"/>
    </row>
    <row r="64" spans="1:26" s="139" customFormat="1" ht="108">
      <c r="A64" s="385"/>
      <c r="B64" s="377"/>
      <c r="C64" s="390"/>
      <c r="D64" s="391"/>
      <c r="E64" s="377"/>
      <c r="F64" s="377"/>
      <c r="G64" s="377"/>
      <c r="H64" s="377"/>
      <c r="I64" s="377"/>
      <c r="J64" s="119" t="s">
        <v>303</v>
      </c>
      <c r="K64" s="119" t="s">
        <v>304</v>
      </c>
      <c r="L64" s="119" t="s">
        <v>513</v>
      </c>
      <c r="M64" s="377"/>
      <c r="N64" s="377"/>
    </row>
    <row r="65" spans="1:25" s="138" customFormat="1">
      <c r="A65" s="140">
        <v>1</v>
      </c>
      <c r="B65" s="78">
        <v>2</v>
      </c>
      <c r="C65" s="378">
        <v>3</v>
      </c>
      <c r="D65" s="380"/>
      <c r="E65" s="119">
        <v>4</v>
      </c>
      <c r="F65" s="119">
        <v>5</v>
      </c>
      <c r="G65" s="119">
        <v>6</v>
      </c>
      <c r="H65" s="119">
        <v>7</v>
      </c>
      <c r="I65" s="119">
        <v>8</v>
      </c>
      <c r="J65" s="119">
        <v>9</v>
      </c>
      <c r="K65" s="119">
        <v>10</v>
      </c>
      <c r="L65" s="119">
        <v>11</v>
      </c>
      <c r="M65" s="119">
        <v>12</v>
      </c>
      <c r="N65" s="119">
        <v>13</v>
      </c>
    </row>
    <row r="66" spans="1:25" s="141" customFormat="1" ht="20.149999999999999" customHeight="1">
      <c r="A66" s="367" t="s">
        <v>58</v>
      </c>
      <c r="B66" s="368"/>
      <c r="C66" s="368"/>
      <c r="D66" s="369"/>
      <c r="E66" s="131"/>
      <c r="F66" s="131"/>
      <c r="G66" s="131"/>
      <c r="H66" s="119"/>
      <c r="I66" s="119"/>
      <c r="J66" s="119"/>
      <c r="K66" s="119"/>
      <c r="L66" s="119"/>
      <c r="M66" s="119"/>
      <c r="N66" s="119"/>
    </row>
    <row r="67" spans="1:25" ht="20.149999999999999" customHeight="1">
      <c r="A67" s="132"/>
      <c r="B67" s="132"/>
      <c r="C67" s="133"/>
      <c r="D67" s="133"/>
      <c r="E67" s="133"/>
      <c r="F67" s="142"/>
      <c r="G67" s="133"/>
      <c r="H67" s="143"/>
      <c r="I67" s="143"/>
      <c r="J67" s="143"/>
      <c r="K67" s="143"/>
      <c r="L67" s="143"/>
      <c r="M67" s="143"/>
      <c r="N67" s="143"/>
      <c r="O67" s="143"/>
      <c r="U67" s="111"/>
      <c r="V67" s="111"/>
      <c r="W67" s="111"/>
      <c r="X67" s="111"/>
      <c r="Y67" s="111"/>
    </row>
    <row r="68" spans="1:25">
      <c r="A68" s="132"/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4"/>
    </row>
    <row r="69" spans="1:25" s="110" customFormat="1">
      <c r="C69" s="115"/>
      <c r="D69" s="115"/>
      <c r="E69" s="115"/>
      <c r="F69" s="115"/>
      <c r="G69" s="115"/>
      <c r="H69" s="115"/>
      <c r="I69" s="115"/>
      <c r="J69" s="115"/>
      <c r="K69" s="115"/>
      <c r="U69" s="144"/>
      <c r="V69" s="144"/>
      <c r="W69" s="144"/>
      <c r="X69" s="144"/>
      <c r="Y69" s="144"/>
    </row>
    <row r="70" spans="1:25" ht="20">
      <c r="A70" s="363" t="s">
        <v>520</v>
      </c>
      <c r="B70" s="363"/>
      <c r="C70" s="145"/>
      <c r="D70" s="146"/>
      <c r="E70" s="146"/>
      <c r="F70" s="146"/>
      <c r="G70" s="147"/>
      <c r="H70" s="364" t="s">
        <v>521</v>
      </c>
      <c r="I70" s="364"/>
      <c r="J70" s="364"/>
      <c r="U70" s="111"/>
      <c r="V70" s="111"/>
      <c r="W70" s="111"/>
      <c r="X70" s="111"/>
      <c r="Y70" s="111"/>
    </row>
    <row r="71" spans="1:25" ht="21" customHeight="1">
      <c r="B71" s="148" t="s">
        <v>78</v>
      </c>
      <c r="C71" s="365" t="s">
        <v>79</v>
      </c>
      <c r="D71" s="365"/>
      <c r="E71" s="365"/>
      <c r="F71" s="365"/>
      <c r="G71" s="149"/>
      <c r="H71" s="366" t="s">
        <v>103</v>
      </c>
      <c r="I71" s="366"/>
      <c r="J71" s="366"/>
      <c r="U71" s="111"/>
      <c r="V71" s="111"/>
      <c r="W71" s="111"/>
      <c r="X71" s="111"/>
      <c r="Y71" s="111"/>
    </row>
    <row r="72" spans="1:2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1"/>
    </row>
    <row r="73" spans="1:2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1"/>
    </row>
    <row r="74" spans="1:2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1"/>
    </row>
    <row r="75" spans="1:25">
      <c r="B75" s="132"/>
    </row>
    <row r="78" spans="1:25">
      <c r="B78" s="152"/>
    </row>
    <row r="79" spans="1:25">
      <c r="B79" s="152"/>
    </row>
    <row r="80" spans="1:25">
      <c r="B80" s="152"/>
    </row>
    <row r="81" spans="2:2">
      <c r="B81" s="152"/>
    </row>
    <row r="82" spans="2:2">
      <c r="B82" s="152"/>
    </row>
    <row r="83" spans="2:2">
      <c r="B83" s="152"/>
    </row>
    <row r="84" spans="2:2">
      <c r="B84" s="152"/>
    </row>
  </sheetData>
  <sheetProtection formatCells="0" formatColumns="0" formatRows="0" insertRows="0" deleteRows="0"/>
  <mergeCells count="63">
    <mergeCell ref="O27:R27"/>
    <mergeCell ref="S27:V27"/>
    <mergeCell ref="U28:U29"/>
    <mergeCell ref="V28:V29"/>
    <mergeCell ref="A22:B22"/>
    <mergeCell ref="R28:R29"/>
    <mergeCell ref="S28:S29"/>
    <mergeCell ref="T28:T29"/>
    <mergeCell ref="P28:P29"/>
    <mergeCell ref="Q28:Q29"/>
    <mergeCell ref="M28:M29"/>
    <mergeCell ref="N28:N29"/>
    <mergeCell ref="O28:O29"/>
    <mergeCell ref="K28:K29"/>
    <mergeCell ref="L28:L29"/>
    <mergeCell ref="G28:G29"/>
    <mergeCell ref="B62:B64"/>
    <mergeCell ref="G15:J15"/>
    <mergeCell ref="A57:B57"/>
    <mergeCell ref="A27:A29"/>
    <mergeCell ref="C27:F27"/>
    <mergeCell ref="G27:J27"/>
    <mergeCell ref="B27:B29"/>
    <mergeCell ref="C62:D64"/>
    <mergeCell ref="E62:E64"/>
    <mergeCell ref="H28:H29"/>
    <mergeCell ref="I28:I29"/>
    <mergeCell ref="J28:J29"/>
    <mergeCell ref="C28:C29"/>
    <mergeCell ref="D28:D29"/>
    <mergeCell ref="E28:E29"/>
    <mergeCell ref="F28:F29"/>
    <mergeCell ref="F3:J3"/>
    <mergeCell ref="A58:B58"/>
    <mergeCell ref="N62:N64"/>
    <mergeCell ref="C65:D65"/>
    <mergeCell ref="E14:E16"/>
    <mergeCell ref="F14:J14"/>
    <mergeCell ref="F15:F16"/>
    <mergeCell ref="F62:F64"/>
    <mergeCell ref="G62:G64"/>
    <mergeCell ref="H62:L62"/>
    <mergeCell ref="M62:M64"/>
    <mergeCell ref="H63:H64"/>
    <mergeCell ref="I63:I64"/>
    <mergeCell ref="J63:L63"/>
    <mergeCell ref="K27:N27"/>
    <mergeCell ref="A62:A64"/>
    <mergeCell ref="A3:A4"/>
    <mergeCell ref="B3:B4"/>
    <mergeCell ref="C3:C4"/>
    <mergeCell ref="D3:D4"/>
    <mergeCell ref="E3:E4"/>
    <mergeCell ref="A10:B10"/>
    <mergeCell ref="A14:A16"/>
    <mergeCell ref="B14:B16"/>
    <mergeCell ref="C14:C16"/>
    <mergeCell ref="D14:D16"/>
    <mergeCell ref="A70:B70"/>
    <mergeCell ref="H70:J70"/>
    <mergeCell ref="C71:F71"/>
    <mergeCell ref="H71:J71"/>
    <mergeCell ref="A66:D66"/>
  </mergeCells>
  <phoneticPr fontId="3" type="noConversion"/>
  <pageMargins left="0.78740157480314965" right="0.78740157480314965" top="1.1811023622047243" bottom="0.39370078740157483" header="0" footer="0"/>
  <pageSetup paperSize="9" scale="35" orientation="landscape" verticalDpi="1200" r:id="rId1"/>
  <headerFooter alignWithMargins="0"/>
  <rowBreaks count="1" manualBreakCount="1">
    <brk id="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3. Рух грошових коштів </vt:lpstr>
      <vt:lpstr>4. Кап. інвестиції</vt:lpstr>
      <vt:lpstr> 5. Коефіцієнти</vt:lpstr>
      <vt:lpstr>6.1. Інша інфо_1</vt:lpstr>
      <vt:lpstr>6.2. Інша інфо_2</vt:lpstr>
      <vt:lpstr>Лист1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'3. Рух грошових коштів 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2023-03-17T09:52:49Z</cp:lastPrinted>
  <dcterms:created xsi:type="dcterms:W3CDTF">2003-03-13T16:00:22Z</dcterms:created>
  <dcterms:modified xsi:type="dcterms:W3CDTF">2023-03-17T10:54:06Z</dcterms:modified>
</cp:coreProperties>
</file>